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7245" windowHeight="7620" activeTab="0"/>
  </bookViews>
  <sheets>
    <sheet name="Menu" sheetId="1" r:id="rId1"/>
    <sheet name="rapporteur1" sheetId="2" r:id="rId2"/>
    <sheet name="Rapporteur2" sheetId="3" r:id="rId3"/>
    <sheet name="Rapporteur3" sheetId="4" r:id="rId4"/>
  </sheets>
  <definedNames>
    <definedName name="a" localSheetId="1">'rapporteur1'!$J$156</definedName>
    <definedName name="a" localSheetId="2">'Rapporteur2'!$J$156</definedName>
    <definedName name="a" localSheetId="3">'Rapporteur3'!$J$156</definedName>
    <definedName name="aa">'rapporteur1'!$T$68</definedName>
    <definedName name="angf">'rapporteur1'!$T$27</definedName>
    <definedName name="f">'rapporteur1'!$U$67</definedName>
    <definedName name="lf">'rapporteur1'!$S$26</definedName>
    <definedName name="n" localSheetId="1">'rapporteur1'!$V$71</definedName>
    <definedName name="n" localSheetId="2">'Rapporteur2'!$V$71</definedName>
    <definedName name="n" localSheetId="3">'Rapporteur3'!$V$71</definedName>
    <definedName name="pas" localSheetId="1">'rapporteur1'!$AI$3</definedName>
    <definedName name="pas" localSheetId="2">'Rapporteur2'!$AI$3</definedName>
    <definedName name="pas" localSheetId="3">'Rapporteur3'!$AI$3</definedName>
    <definedName name="per">'rapporteur1'!$AH$3</definedName>
    <definedName name="R">'rapporteur1'!$AB$2</definedName>
  </definedNames>
  <calcPr fullCalcOnLoad="1"/>
</workbook>
</file>

<file path=xl/comments2.xml><?xml version="1.0" encoding="utf-8"?>
<comments xmlns="http://schemas.openxmlformats.org/spreadsheetml/2006/main">
  <authors>
    <author>Un utilisateur satisfait de Microsoft Office</author>
  </authors>
  <commentList>
    <comment ref="C39" authorId="0">
      <text>
        <r>
          <rPr>
            <sz val="8"/>
            <rFont val="Tahoma"/>
            <family val="0"/>
          </rPr>
          <t xml:space="preserve">Entrez vos valeurs de x
</t>
        </r>
      </text>
    </comment>
  </commentList>
</comments>
</file>

<file path=xl/comments3.xml><?xml version="1.0" encoding="utf-8"?>
<comments xmlns="http://schemas.openxmlformats.org/spreadsheetml/2006/main">
  <authors>
    <author>Un utilisateur satisfait de Microsoft Office</author>
  </authors>
  <commentList>
    <comment ref="C39" authorId="0">
      <text>
        <r>
          <rPr>
            <sz val="8"/>
            <rFont val="Tahoma"/>
            <family val="0"/>
          </rPr>
          <t xml:space="preserve">Entrez vos valeurs de x
</t>
        </r>
      </text>
    </comment>
  </commentList>
</comments>
</file>

<file path=xl/sharedStrings.xml><?xml version="1.0" encoding="utf-8"?>
<sst xmlns="http://schemas.openxmlformats.org/spreadsheetml/2006/main" count="152" uniqueCount="61">
  <si>
    <t>A</t>
  </si>
  <si>
    <t>V</t>
  </si>
  <si>
    <t>l =</t>
  </si>
  <si>
    <t>norme</t>
  </si>
  <si>
    <t>abscisse flèche</t>
  </si>
  <si>
    <t>ordonnée flèche</t>
  </si>
  <si>
    <t>a =</t>
  </si>
  <si>
    <t>Somme de vecteurs</t>
  </si>
  <si>
    <t>x (rad)</t>
  </si>
  <si>
    <t xml:space="preserve">y </t>
  </si>
  <si>
    <t>3p/4</t>
  </si>
  <si>
    <t>5p/4</t>
  </si>
  <si>
    <t>4p/3</t>
  </si>
  <si>
    <t>3p/2</t>
  </si>
  <si>
    <t>7p/4</t>
  </si>
  <si>
    <t>5p/3</t>
  </si>
  <si>
    <t>2p</t>
  </si>
  <si>
    <t>p/4</t>
  </si>
  <si>
    <t>p/3</t>
  </si>
  <si>
    <t>p/2</t>
  </si>
  <si>
    <t>2p/3</t>
  </si>
  <si>
    <t>p</t>
  </si>
  <si>
    <t>0  (2p)</t>
  </si>
  <si>
    <t>p/6</t>
  </si>
  <si>
    <t>5p/6</t>
  </si>
  <si>
    <t>7p/6</t>
  </si>
  <si>
    <t>9p/6</t>
  </si>
  <si>
    <t>Norme du vecteur OM</t>
  </si>
  <si>
    <t>Norme du vecteur ON</t>
  </si>
  <si>
    <r>
      <t>V</t>
    </r>
    <r>
      <rPr>
        <b/>
        <i/>
        <vertAlign val="subscript"/>
        <sz val="10"/>
        <color indexed="22"/>
        <rFont val="Times New Roman"/>
        <family val="1"/>
      </rPr>
      <t>1</t>
    </r>
  </si>
  <si>
    <r>
      <t>V</t>
    </r>
    <r>
      <rPr>
        <b/>
        <i/>
        <vertAlign val="subscript"/>
        <sz val="10"/>
        <color indexed="22"/>
        <rFont val="Times New Roman"/>
        <family val="1"/>
      </rPr>
      <t>2</t>
    </r>
  </si>
  <si>
    <r>
      <t>V</t>
    </r>
    <r>
      <rPr>
        <b/>
        <i/>
        <vertAlign val="subscript"/>
        <sz val="10"/>
        <color indexed="22"/>
        <rFont val="Times New Roman"/>
        <family val="1"/>
      </rPr>
      <t>3</t>
    </r>
  </si>
  <si>
    <r>
      <t>V</t>
    </r>
    <r>
      <rPr>
        <b/>
        <i/>
        <vertAlign val="subscript"/>
        <sz val="10"/>
        <color indexed="22"/>
        <rFont val="Times New Roman"/>
        <family val="1"/>
      </rPr>
      <t>4</t>
    </r>
  </si>
  <si>
    <r>
      <t>V</t>
    </r>
    <r>
      <rPr>
        <b/>
        <i/>
        <vertAlign val="subscript"/>
        <sz val="10"/>
        <color indexed="22"/>
        <rFont val="Times New Roman"/>
        <family val="1"/>
      </rPr>
      <t>5</t>
    </r>
  </si>
  <si>
    <r>
      <t>V</t>
    </r>
    <r>
      <rPr>
        <b/>
        <i/>
        <vertAlign val="subscript"/>
        <sz val="10"/>
        <color indexed="22"/>
        <rFont val="Times New Roman"/>
        <family val="1"/>
      </rPr>
      <t>6</t>
    </r>
  </si>
  <si>
    <t>Résultat de la mesure</t>
  </si>
  <si>
    <t>MESURE DES ANGLES</t>
  </si>
  <si>
    <t xml:space="preserve">Mode d'emploi:                                                          Pour avoir une nouvelle mesure appuyer sur le bouton correspondant                                                Si vous avez besoin du rapporteur , cliquez sur le bouton                                                               Pour déplacer le rapporteur , utilisez les touches de déplacement du clavier ; pour le faire tourner cliquez  les touches                                                                             Inscrire le résultat de cette mesure dans la case      </t>
  </si>
  <si>
    <r>
      <t>A</t>
    </r>
    <r>
      <rPr>
        <b/>
        <i/>
        <vertAlign val="subscript"/>
        <sz val="10"/>
        <color indexed="8"/>
        <rFont val="Times New Roman"/>
        <family val="1"/>
      </rPr>
      <t>0</t>
    </r>
  </si>
  <si>
    <r>
      <t>A</t>
    </r>
    <r>
      <rPr>
        <b/>
        <i/>
        <vertAlign val="subscript"/>
        <sz val="10"/>
        <color indexed="8"/>
        <rFont val="Times New Roman"/>
        <family val="1"/>
      </rPr>
      <t>1</t>
    </r>
  </si>
  <si>
    <r>
      <t>A</t>
    </r>
    <r>
      <rPr>
        <b/>
        <i/>
        <vertAlign val="subscript"/>
        <sz val="10"/>
        <color indexed="8"/>
        <rFont val="Times New Roman"/>
        <family val="1"/>
      </rPr>
      <t>2</t>
    </r>
  </si>
  <si>
    <r>
      <t>A</t>
    </r>
    <r>
      <rPr>
        <b/>
        <i/>
        <vertAlign val="subscript"/>
        <sz val="10"/>
        <color indexed="8"/>
        <rFont val="Times New Roman"/>
        <family val="1"/>
      </rPr>
      <t>3</t>
    </r>
  </si>
  <si>
    <r>
      <t>A</t>
    </r>
    <r>
      <rPr>
        <b/>
        <i/>
        <vertAlign val="subscript"/>
        <sz val="10"/>
        <color indexed="8"/>
        <rFont val="Times New Roman"/>
        <family val="1"/>
      </rPr>
      <t>4</t>
    </r>
  </si>
  <si>
    <r>
      <t>A</t>
    </r>
    <r>
      <rPr>
        <b/>
        <i/>
        <vertAlign val="subscript"/>
        <sz val="10"/>
        <color indexed="8"/>
        <rFont val="Times New Roman"/>
        <family val="1"/>
      </rPr>
      <t>5</t>
    </r>
  </si>
  <si>
    <r>
      <t>A</t>
    </r>
    <r>
      <rPr>
        <b/>
        <i/>
        <vertAlign val="subscript"/>
        <sz val="10"/>
        <color indexed="8"/>
        <rFont val="Times New Roman"/>
        <family val="1"/>
      </rPr>
      <t>6</t>
    </r>
  </si>
  <si>
    <t>Correction</t>
  </si>
  <si>
    <r>
      <t>A</t>
    </r>
    <r>
      <rPr>
        <b/>
        <i/>
        <vertAlign val="subscript"/>
        <sz val="10"/>
        <color indexed="46"/>
        <rFont val="Times New Roman"/>
        <family val="1"/>
      </rPr>
      <t>0</t>
    </r>
  </si>
  <si>
    <r>
      <t>V</t>
    </r>
    <r>
      <rPr>
        <b/>
        <i/>
        <vertAlign val="subscript"/>
        <sz val="10"/>
        <color indexed="46"/>
        <rFont val="Times New Roman"/>
        <family val="1"/>
      </rPr>
      <t>1</t>
    </r>
  </si>
  <si>
    <r>
      <t>A</t>
    </r>
    <r>
      <rPr>
        <b/>
        <i/>
        <vertAlign val="subscript"/>
        <sz val="10"/>
        <color indexed="46"/>
        <rFont val="Times New Roman"/>
        <family val="1"/>
      </rPr>
      <t>1</t>
    </r>
  </si>
  <si>
    <r>
      <t>V</t>
    </r>
    <r>
      <rPr>
        <b/>
        <i/>
        <vertAlign val="subscript"/>
        <sz val="10"/>
        <color indexed="46"/>
        <rFont val="Times New Roman"/>
        <family val="1"/>
      </rPr>
      <t>2</t>
    </r>
  </si>
  <si>
    <r>
      <t>A</t>
    </r>
    <r>
      <rPr>
        <b/>
        <i/>
        <vertAlign val="subscript"/>
        <sz val="10"/>
        <color indexed="46"/>
        <rFont val="Times New Roman"/>
        <family val="1"/>
      </rPr>
      <t>2</t>
    </r>
  </si>
  <si>
    <r>
      <t>V</t>
    </r>
    <r>
      <rPr>
        <b/>
        <i/>
        <vertAlign val="subscript"/>
        <sz val="10"/>
        <color indexed="46"/>
        <rFont val="Times New Roman"/>
        <family val="1"/>
      </rPr>
      <t>3</t>
    </r>
  </si>
  <si>
    <r>
      <t>A</t>
    </r>
    <r>
      <rPr>
        <b/>
        <i/>
        <vertAlign val="subscript"/>
        <sz val="10"/>
        <color indexed="46"/>
        <rFont val="Times New Roman"/>
        <family val="1"/>
      </rPr>
      <t>3</t>
    </r>
  </si>
  <si>
    <r>
      <t>V</t>
    </r>
    <r>
      <rPr>
        <b/>
        <i/>
        <vertAlign val="subscript"/>
        <sz val="10"/>
        <color indexed="46"/>
        <rFont val="Times New Roman"/>
        <family val="1"/>
      </rPr>
      <t>4</t>
    </r>
  </si>
  <si>
    <r>
      <t>A</t>
    </r>
    <r>
      <rPr>
        <b/>
        <i/>
        <vertAlign val="subscript"/>
        <sz val="10"/>
        <color indexed="46"/>
        <rFont val="Times New Roman"/>
        <family val="1"/>
      </rPr>
      <t>4</t>
    </r>
  </si>
  <si>
    <r>
      <t>V</t>
    </r>
    <r>
      <rPr>
        <b/>
        <i/>
        <vertAlign val="subscript"/>
        <sz val="10"/>
        <color indexed="46"/>
        <rFont val="Times New Roman"/>
        <family val="1"/>
      </rPr>
      <t>5</t>
    </r>
  </si>
  <si>
    <r>
      <t>A</t>
    </r>
    <r>
      <rPr>
        <b/>
        <i/>
        <vertAlign val="subscript"/>
        <sz val="10"/>
        <color indexed="46"/>
        <rFont val="Times New Roman"/>
        <family val="1"/>
      </rPr>
      <t>5</t>
    </r>
  </si>
  <si>
    <r>
      <t>V</t>
    </r>
    <r>
      <rPr>
        <b/>
        <i/>
        <vertAlign val="subscript"/>
        <sz val="10"/>
        <color indexed="46"/>
        <rFont val="Times New Roman"/>
        <family val="1"/>
      </rPr>
      <t>6</t>
    </r>
  </si>
  <si>
    <r>
      <t>A</t>
    </r>
    <r>
      <rPr>
        <b/>
        <i/>
        <vertAlign val="subscript"/>
        <sz val="10"/>
        <color indexed="46"/>
        <rFont val="Times New Roman"/>
        <family val="1"/>
      </rPr>
      <t>6</t>
    </r>
  </si>
  <si>
    <t>Daniel MENTRARD</t>
  </si>
  <si>
    <t>1024  * 768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</si>
</sst>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( &quot;General;&quot;(-&quot;General"/>
    <numFmt numFmtId="173" formatCode="&quot;( &quot;General&quot; ;&quot;;&quot;(-&quot;General&quot; ;&quot;"/>
    <numFmt numFmtId="174" formatCode="General&quot; )&quot;"/>
    <numFmt numFmtId="175" formatCode="General&quot;°&quot;"/>
    <numFmt numFmtId="176" formatCode="General&quot;° =&quot;"/>
    <numFmt numFmtId="177" formatCode="General&quot; rad&quot;"/>
    <numFmt numFmtId="178" formatCode="&quot;= &quot;General&quot; rad&quot;;&quot;= -&quot;General&quot; rad&quot;"/>
    <numFmt numFmtId="179" formatCode="[Blue]#,##0.00\ _F;[Red]\-#,##0.00\ _F"/>
    <numFmt numFmtId="180" formatCode="[Blue]#,##0.00\ _F;[Black]\-#,##0.00\ _F"/>
    <numFmt numFmtId="181" formatCode="[Blue]General;[Black]\-General"/>
    <numFmt numFmtId="182" formatCode="0.00000"/>
    <numFmt numFmtId="183" formatCode="0.000"/>
    <numFmt numFmtId="184" formatCode="General&quot;)&quot;"/>
    <numFmt numFmtId="185" formatCode="General\ &quot;P&quot;"/>
    <numFmt numFmtId="186" formatCode="General\ &quot;P /&quot;"/>
    <numFmt numFmtId="187" formatCode="General\ &quot;°&quot;"/>
  </numFmts>
  <fonts count="50">
    <font>
      <sz val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14"/>
      <name val="Symbol"/>
      <family val="1"/>
    </font>
    <font>
      <sz val="8"/>
      <name val="Symbol"/>
      <family val="1"/>
    </font>
    <font>
      <b/>
      <sz val="14"/>
      <name val="Arial"/>
      <family val="2"/>
    </font>
    <font>
      <b/>
      <sz val="10"/>
      <color indexed="22"/>
      <name val="Arial"/>
      <family val="2"/>
    </font>
    <font>
      <b/>
      <sz val="13.5"/>
      <color indexed="10"/>
      <name val="Symbol"/>
      <family val="1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b/>
      <sz val="16"/>
      <color indexed="22"/>
      <name val="Arial"/>
      <family val="2"/>
    </font>
    <font>
      <sz val="10"/>
      <color indexed="22"/>
      <name val="Symbol"/>
      <family val="1"/>
    </font>
    <font>
      <b/>
      <sz val="8"/>
      <color indexed="22"/>
      <name val="Arial"/>
      <family val="2"/>
    </font>
    <font>
      <b/>
      <sz val="11"/>
      <color indexed="22"/>
      <name val="Arial"/>
      <family val="2"/>
    </font>
    <font>
      <b/>
      <i/>
      <sz val="12"/>
      <color indexed="22"/>
      <name val="Times New Roman"/>
      <family val="1"/>
    </font>
    <font>
      <sz val="10"/>
      <color indexed="22"/>
      <name val="Times New Roman"/>
      <family val="1"/>
    </font>
    <font>
      <i/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i/>
      <sz val="10"/>
      <color indexed="22"/>
      <name val="Times New Roman"/>
      <family val="1"/>
    </font>
    <font>
      <b/>
      <i/>
      <vertAlign val="subscript"/>
      <sz val="10"/>
      <color indexed="22"/>
      <name val="Times New Roman"/>
      <family val="1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sz val="10"/>
      <color indexed="46"/>
      <name val="Arial"/>
      <family val="2"/>
    </font>
    <font>
      <b/>
      <sz val="14"/>
      <color indexed="51"/>
      <name val="Arial"/>
      <family val="2"/>
    </font>
    <font>
      <sz val="10"/>
      <color indexed="23"/>
      <name val="Arial"/>
      <family val="2"/>
    </font>
    <font>
      <b/>
      <sz val="11"/>
      <color indexed="12"/>
      <name val="Arial"/>
      <family val="2"/>
    </font>
    <font>
      <b/>
      <sz val="2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vertAlign val="subscript"/>
      <sz val="10"/>
      <color indexed="8"/>
      <name val="Times New Roman"/>
      <family val="1"/>
    </font>
    <font>
      <b/>
      <sz val="12"/>
      <color indexed="10"/>
      <name val="Arial"/>
      <family val="2"/>
    </font>
    <font>
      <sz val="10"/>
      <color indexed="23"/>
      <name val="Symbol"/>
      <family val="1"/>
    </font>
    <font>
      <sz val="10"/>
      <color indexed="23"/>
      <name val="Times New Roman"/>
      <family val="1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3.5"/>
      <color indexed="46"/>
      <name val="Symbol"/>
      <family val="1"/>
    </font>
    <font>
      <b/>
      <i/>
      <sz val="12"/>
      <color indexed="46"/>
      <name val="Times New Roman"/>
      <family val="1"/>
    </font>
    <font>
      <sz val="10"/>
      <color indexed="46"/>
      <name val="Times New Roman"/>
      <family val="1"/>
    </font>
    <font>
      <i/>
      <sz val="10"/>
      <color indexed="46"/>
      <name val="Times New Roman"/>
      <family val="1"/>
    </font>
    <font>
      <b/>
      <sz val="10"/>
      <color indexed="46"/>
      <name val="Times New Roman"/>
      <family val="1"/>
    </font>
    <font>
      <b/>
      <i/>
      <sz val="10"/>
      <color indexed="46"/>
      <name val="Times New Roman"/>
      <family val="1"/>
    </font>
    <font>
      <b/>
      <i/>
      <vertAlign val="subscript"/>
      <sz val="10"/>
      <color indexed="46"/>
      <name val="Times New Roman"/>
      <family val="1"/>
    </font>
    <font>
      <b/>
      <sz val="16"/>
      <color indexed="52"/>
      <name val="Arial"/>
      <family val="2"/>
    </font>
    <font>
      <b/>
      <sz val="18"/>
      <color indexed="52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2" borderId="0" xfId="0" applyFill="1" applyAlignment="1">
      <alignment/>
    </xf>
    <xf numFmtId="0" fontId="1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1" fillId="3" borderId="0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21" fillId="3" borderId="1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>
      <alignment/>
    </xf>
    <xf numFmtId="0" fontId="10" fillId="3" borderId="0" xfId="0" applyFont="1" applyFill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0" fillId="3" borderId="0" xfId="0" applyFont="1" applyFill="1" applyAlignment="1">
      <alignment/>
    </xf>
    <xf numFmtId="185" fontId="8" fillId="3" borderId="2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0" fillId="3" borderId="0" xfId="0" applyNumberFormat="1" applyFont="1" applyFill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0" fillId="3" borderId="0" xfId="0" applyFont="1" applyFill="1" applyAlignment="1" applyProtection="1">
      <alignment/>
      <protection hidden="1"/>
    </xf>
    <xf numFmtId="175" fontId="10" fillId="3" borderId="0" xfId="0" applyNumberFormat="1" applyFont="1" applyFill="1" applyAlignment="1">
      <alignment/>
    </xf>
    <xf numFmtId="183" fontId="10" fillId="3" borderId="0" xfId="0" applyNumberFormat="1" applyFont="1" applyFill="1" applyBorder="1" applyAlignment="1">
      <alignment horizontal="center"/>
    </xf>
    <xf numFmtId="183" fontId="12" fillId="3" borderId="0" xfId="0" applyNumberFormat="1" applyFont="1" applyFill="1" applyBorder="1" applyAlignment="1">
      <alignment horizontal="center"/>
    </xf>
    <xf numFmtId="183" fontId="10" fillId="3" borderId="0" xfId="0" applyNumberFormat="1" applyFont="1" applyFill="1" applyAlignment="1">
      <alignment horizontal="center"/>
    </xf>
    <xf numFmtId="175" fontId="10" fillId="3" borderId="0" xfId="0" applyNumberFormat="1" applyFont="1" applyFill="1" applyAlignment="1">
      <alignment horizontal="right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83" fontId="10" fillId="3" borderId="0" xfId="0" applyNumberFormat="1" applyFont="1" applyFill="1" applyBorder="1" applyAlignment="1" applyProtection="1">
      <alignment horizontal="center"/>
      <protection hidden="1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75" fontId="18" fillId="3" borderId="0" xfId="0" applyNumberFormat="1" applyFont="1" applyFill="1" applyAlignment="1">
      <alignment horizontal="center" vertical="center"/>
    </xf>
    <xf numFmtId="178" fontId="18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173" fontId="18" fillId="3" borderId="0" xfId="0" applyNumberFormat="1" applyFont="1" applyFill="1" applyAlignment="1">
      <alignment horizontal="right" vertical="center"/>
    </xf>
    <xf numFmtId="174" fontId="18" fillId="3" borderId="0" xfId="0" applyNumberFormat="1" applyFont="1" applyFill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173" fontId="18" fillId="3" borderId="0" xfId="0" applyNumberFormat="1" applyFont="1" applyFill="1" applyBorder="1" applyAlignment="1">
      <alignment horizontal="right" vertical="center"/>
    </xf>
    <xf numFmtId="174" fontId="18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0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83" fontId="12" fillId="3" borderId="0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183" fontId="10" fillId="3" borderId="0" xfId="0" applyNumberFormat="1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7" fillId="3" borderId="0" xfId="0" applyFont="1" applyFill="1" applyAlignment="1" applyProtection="1">
      <alignment horizontal="left"/>
      <protection hidden="1"/>
    </xf>
    <xf numFmtId="182" fontId="10" fillId="3" borderId="0" xfId="0" applyNumberFormat="1" applyFont="1" applyFill="1" applyAlignment="1" applyProtection="1">
      <alignment horizontal="center"/>
      <protection hidden="1"/>
    </xf>
    <xf numFmtId="0" fontId="22" fillId="3" borderId="0" xfId="0" applyFont="1" applyFill="1" applyBorder="1" applyAlignment="1">
      <alignment horizontal="left" vertical="center"/>
    </xf>
    <xf numFmtId="186" fontId="7" fillId="3" borderId="0" xfId="0" applyNumberFormat="1" applyFont="1" applyFill="1" applyAlignment="1">
      <alignment horizontal="center"/>
    </xf>
    <xf numFmtId="182" fontId="10" fillId="3" borderId="0" xfId="0" applyNumberFormat="1" applyFont="1" applyFill="1" applyAlignment="1" applyProtection="1">
      <alignment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185" fontId="7" fillId="3" borderId="4" xfId="0" applyNumberFormat="1" applyFont="1" applyFill="1" applyBorder="1" applyAlignment="1" applyProtection="1">
      <alignment horizontal="center" vertical="center"/>
      <protection hidden="1"/>
    </xf>
    <xf numFmtId="182" fontId="7" fillId="3" borderId="0" xfId="0" applyNumberFormat="1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/>
      <protection hidden="1"/>
    </xf>
    <xf numFmtId="185" fontId="7" fillId="3" borderId="0" xfId="0" applyNumberFormat="1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183" fontId="7" fillId="3" borderId="0" xfId="0" applyNumberFormat="1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 horizontal="center" vertical="top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/>
      <protection hidden="1"/>
    </xf>
    <xf numFmtId="0" fontId="10" fillId="3" borderId="0" xfId="0" applyFont="1" applyFill="1" applyAlignment="1">
      <alignment horizontal="center"/>
    </xf>
    <xf numFmtId="2" fontId="12" fillId="3" borderId="7" xfId="0" applyNumberFormat="1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183" fontId="12" fillId="3" borderId="7" xfId="0" applyNumberFormat="1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/>
      <protection hidden="1"/>
    </xf>
    <xf numFmtId="183" fontId="10" fillId="3" borderId="10" xfId="0" applyNumberFormat="1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/>
      <protection hidden="1"/>
    </xf>
    <xf numFmtId="0" fontId="14" fillId="3" borderId="0" xfId="0" applyFont="1" applyFill="1" applyBorder="1" applyAlignment="1">
      <alignment/>
    </xf>
    <xf numFmtId="0" fontId="14" fillId="3" borderId="0" xfId="0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>
      <alignment horizontal="center"/>
    </xf>
    <xf numFmtId="183" fontId="10" fillId="3" borderId="0" xfId="0" applyNumberFormat="1" applyFont="1" applyFill="1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13" fillId="3" borderId="0" xfId="0" applyFont="1" applyFill="1" applyBorder="1" applyAlignment="1" applyProtection="1">
      <alignment horizontal="center" wrapText="1"/>
      <protection hidden="1"/>
    </xf>
    <xf numFmtId="0" fontId="10" fillId="4" borderId="0" xfId="0" applyFont="1" applyFill="1" applyBorder="1" applyAlignment="1" applyProtection="1">
      <alignment/>
      <protection hidden="1"/>
    </xf>
    <xf numFmtId="2" fontId="10" fillId="4" borderId="0" xfId="0" applyNumberFormat="1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/>
      <protection hidden="1"/>
    </xf>
    <xf numFmtId="183" fontId="10" fillId="4" borderId="0" xfId="0" applyNumberFormat="1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4" borderId="15" xfId="0" applyFont="1" applyFill="1" applyBorder="1" applyAlignment="1" applyProtection="1">
      <alignment/>
      <protection hidden="1"/>
    </xf>
    <xf numFmtId="0" fontId="10" fillId="4" borderId="15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0" fontId="10" fillId="5" borderId="0" xfId="0" applyFont="1" applyFill="1" applyBorder="1" applyAlignment="1" applyProtection="1">
      <alignment/>
      <protection hidden="1"/>
    </xf>
    <xf numFmtId="0" fontId="10" fillId="5" borderId="17" xfId="0" applyFont="1" applyFill="1" applyBorder="1" applyAlignment="1">
      <alignment/>
    </xf>
    <xf numFmtId="0" fontId="10" fillId="5" borderId="18" xfId="0" applyFont="1" applyFill="1" applyBorder="1" applyAlignment="1" applyProtection="1">
      <alignment/>
      <protection hidden="1"/>
    </xf>
    <xf numFmtId="0" fontId="10" fillId="5" borderId="18" xfId="0" applyFont="1" applyFill="1" applyBorder="1" applyAlignment="1" applyProtection="1">
      <alignment/>
      <protection hidden="1"/>
    </xf>
    <xf numFmtId="0" fontId="10" fillId="5" borderId="18" xfId="0" applyFont="1" applyFill="1" applyBorder="1" applyAlignment="1">
      <alignment/>
    </xf>
    <xf numFmtId="0" fontId="10" fillId="5" borderId="19" xfId="0" applyFont="1" applyFill="1" applyBorder="1" applyAlignment="1">
      <alignment/>
    </xf>
    <xf numFmtId="0" fontId="10" fillId="5" borderId="12" xfId="0" applyFont="1" applyFill="1" applyBorder="1" applyAlignment="1">
      <alignment/>
    </xf>
    <xf numFmtId="0" fontId="10" fillId="5" borderId="0" xfId="0" applyFont="1" applyFill="1" applyBorder="1" applyAlignment="1" applyProtection="1">
      <alignment/>
      <protection hidden="1"/>
    </xf>
    <xf numFmtId="0" fontId="10" fillId="5" borderId="0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10" fillId="5" borderId="14" xfId="0" applyFont="1" applyFill="1" applyBorder="1" applyAlignment="1">
      <alignment/>
    </xf>
    <xf numFmtId="0" fontId="10" fillId="5" borderId="15" xfId="0" applyFont="1" applyFill="1" applyBorder="1" applyAlignment="1" applyProtection="1">
      <alignment/>
      <protection hidden="1"/>
    </xf>
    <xf numFmtId="0" fontId="10" fillId="5" borderId="15" xfId="0" applyFont="1" applyFill="1" applyBorder="1" applyAlignment="1" applyProtection="1">
      <alignment/>
      <protection hidden="1"/>
    </xf>
    <xf numFmtId="0" fontId="10" fillId="5" borderId="15" xfId="0" applyFont="1" applyFill="1" applyBorder="1" applyAlignment="1">
      <alignment/>
    </xf>
    <xf numFmtId="0" fontId="10" fillId="5" borderId="16" xfId="0" applyFont="1" applyFill="1" applyBorder="1" applyAlignment="1">
      <alignment/>
    </xf>
    <xf numFmtId="0" fontId="25" fillId="5" borderId="0" xfId="0" applyFont="1" applyFill="1" applyAlignment="1">
      <alignment/>
    </xf>
    <xf numFmtId="0" fontId="25" fillId="5" borderId="0" xfId="0" applyFont="1" applyFill="1" applyBorder="1" applyAlignment="1">
      <alignment/>
    </xf>
    <xf numFmtId="0" fontId="25" fillId="5" borderId="15" xfId="0" applyFont="1" applyFill="1" applyBorder="1" applyAlignment="1">
      <alignment/>
    </xf>
    <xf numFmtId="0" fontId="21" fillId="6" borderId="1" xfId="0" applyFont="1" applyFill="1" applyBorder="1" applyAlignment="1">
      <alignment/>
    </xf>
    <xf numFmtId="0" fontId="21" fillId="6" borderId="1" xfId="0" applyFont="1" applyFill="1" applyBorder="1" applyAlignment="1" applyProtection="1">
      <alignment/>
      <protection hidden="1"/>
    </xf>
    <xf numFmtId="0" fontId="21" fillId="6" borderId="1" xfId="0" applyFont="1" applyFill="1" applyBorder="1" applyAlignment="1">
      <alignment horizontal="center"/>
    </xf>
    <xf numFmtId="0" fontId="21" fillId="6" borderId="0" xfId="0" applyFont="1" applyFill="1" applyAlignment="1" applyProtection="1">
      <alignment/>
      <protection hidden="1"/>
    </xf>
    <xf numFmtId="0" fontId="21" fillId="6" borderId="1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29" fillId="7" borderId="17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0" fontId="28" fillId="3" borderId="0" xfId="0" applyFont="1" applyFill="1" applyAlignment="1">
      <alignment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>
      <alignment/>
    </xf>
    <xf numFmtId="0" fontId="28" fillId="3" borderId="0" xfId="0" applyFont="1" applyFill="1" applyBorder="1" applyAlignment="1" applyProtection="1">
      <alignment/>
      <protection hidden="1"/>
    </xf>
    <xf numFmtId="0" fontId="28" fillId="3" borderId="0" xfId="0" applyFont="1" applyFill="1" applyAlignment="1" applyProtection="1">
      <alignment/>
      <protection hidden="1"/>
    </xf>
    <xf numFmtId="0" fontId="28" fillId="3" borderId="0" xfId="0" applyFont="1" applyFill="1" applyAlignment="1" applyProtection="1">
      <alignment horizontal="center"/>
      <protection hidden="1"/>
    </xf>
    <xf numFmtId="0" fontId="28" fillId="3" borderId="0" xfId="0" applyNumberFormat="1" applyFont="1" applyFill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Alignment="1" applyProtection="1">
      <alignment/>
      <protection hidden="1"/>
    </xf>
    <xf numFmtId="0" fontId="29" fillId="3" borderId="0" xfId="0" applyFont="1" applyFill="1" applyBorder="1" applyAlignment="1" applyProtection="1">
      <alignment horizontal="center"/>
      <protection hidden="1"/>
    </xf>
    <xf numFmtId="183" fontId="29" fillId="3" borderId="0" xfId="0" applyNumberFormat="1" applyFont="1" applyFill="1" applyBorder="1" applyAlignment="1" applyProtection="1">
      <alignment horizontal="center"/>
      <protection hidden="1"/>
    </xf>
    <xf numFmtId="0" fontId="22" fillId="3" borderId="0" xfId="0" applyFont="1" applyFill="1" applyBorder="1" applyAlignment="1" applyProtection="1">
      <alignment horizontal="center" vertical="top"/>
      <protection hidden="1"/>
    </xf>
    <xf numFmtId="0" fontId="28" fillId="3" borderId="0" xfId="0" applyFont="1" applyFill="1" applyAlignment="1">
      <alignment/>
    </xf>
    <xf numFmtId="185" fontId="28" fillId="3" borderId="0" xfId="0" applyNumberFormat="1" applyFont="1" applyFill="1" applyAlignment="1">
      <alignment/>
    </xf>
    <xf numFmtId="187" fontId="30" fillId="4" borderId="2" xfId="0" applyNumberFormat="1" applyFont="1" applyFill="1" applyBorder="1" applyAlignment="1">
      <alignment horizontal="center" vertical="center"/>
    </xf>
    <xf numFmtId="187" fontId="30" fillId="4" borderId="20" xfId="0" applyNumberFormat="1" applyFont="1" applyFill="1" applyBorder="1" applyAlignment="1">
      <alignment horizontal="center" vertical="center"/>
    </xf>
    <xf numFmtId="187" fontId="30" fillId="4" borderId="3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29" fillId="9" borderId="17" xfId="0" applyFont="1" applyFill="1" applyBorder="1" applyAlignment="1">
      <alignment horizontal="left" vertical="top" wrapText="1"/>
    </xf>
    <xf numFmtId="0" fontId="29" fillId="9" borderId="18" xfId="0" applyFont="1" applyFill="1" applyBorder="1" applyAlignment="1">
      <alignment horizontal="left" vertical="top" wrapText="1"/>
    </xf>
    <xf numFmtId="0" fontId="29" fillId="9" borderId="19" xfId="0" applyFont="1" applyFill="1" applyBorder="1" applyAlignment="1">
      <alignment horizontal="left" vertical="top" wrapText="1"/>
    </xf>
    <xf numFmtId="0" fontId="29" fillId="9" borderId="12" xfId="0" applyFont="1" applyFill="1" applyBorder="1" applyAlignment="1">
      <alignment horizontal="left" vertical="top" wrapText="1"/>
    </xf>
    <xf numFmtId="0" fontId="29" fillId="9" borderId="0" xfId="0" applyFont="1" applyFill="1" applyBorder="1" applyAlignment="1">
      <alignment horizontal="left" vertical="top" wrapText="1"/>
    </xf>
    <xf numFmtId="0" fontId="29" fillId="9" borderId="13" xfId="0" applyFont="1" applyFill="1" applyBorder="1" applyAlignment="1">
      <alignment horizontal="left" vertical="top" wrapText="1"/>
    </xf>
    <xf numFmtId="0" fontId="29" fillId="9" borderId="14" xfId="0" applyFont="1" applyFill="1" applyBorder="1" applyAlignment="1">
      <alignment horizontal="left" vertical="top" wrapText="1"/>
    </xf>
    <xf numFmtId="0" fontId="29" fillId="9" borderId="15" xfId="0" applyFont="1" applyFill="1" applyBorder="1" applyAlignment="1">
      <alignment horizontal="left" vertical="top" wrapText="1"/>
    </xf>
    <xf numFmtId="0" fontId="29" fillId="9" borderId="16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/>
    </xf>
    <xf numFmtId="187" fontId="25" fillId="5" borderId="13" xfId="0" applyNumberFormat="1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10" fillId="5" borderId="15" xfId="0" applyFont="1" applyFill="1" applyBorder="1" applyAlignment="1">
      <alignment/>
    </xf>
    <xf numFmtId="0" fontId="10" fillId="5" borderId="16" xfId="0" applyFont="1" applyFill="1" applyBorder="1" applyAlignment="1">
      <alignment/>
    </xf>
    <xf numFmtId="0" fontId="25" fillId="5" borderId="0" xfId="0" applyFont="1" applyFill="1" applyAlignment="1">
      <alignment/>
    </xf>
    <xf numFmtId="0" fontId="25" fillId="5" borderId="0" xfId="0" applyFont="1" applyFill="1" applyAlignment="1">
      <alignment horizontal="center"/>
    </xf>
    <xf numFmtId="0" fontId="25" fillId="5" borderId="0" xfId="0" applyNumberFormat="1" applyFont="1" applyFill="1" applyAlignment="1">
      <alignment horizontal="center"/>
    </xf>
    <xf numFmtId="0" fontId="25" fillId="5" borderId="0" xfId="0" applyFont="1" applyFill="1" applyAlignment="1" applyProtection="1">
      <alignment/>
      <protection hidden="1"/>
    </xf>
    <xf numFmtId="175" fontId="25" fillId="5" borderId="0" xfId="0" applyNumberFormat="1" applyFont="1" applyFill="1" applyAlignment="1">
      <alignment/>
    </xf>
    <xf numFmtId="0" fontId="25" fillId="5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183" fontId="25" fillId="5" borderId="0" xfId="0" applyNumberFormat="1" applyFont="1" applyFill="1" applyBorder="1" applyAlignment="1">
      <alignment horizontal="center"/>
    </xf>
    <xf numFmtId="183" fontId="35" fillId="5" borderId="0" xfId="0" applyNumberFormat="1" applyFont="1" applyFill="1" applyBorder="1" applyAlignment="1">
      <alignment horizontal="center"/>
    </xf>
    <xf numFmtId="183" fontId="25" fillId="5" borderId="0" xfId="0" applyNumberFormat="1" applyFont="1" applyFill="1" applyAlignment="1">
      <alignment horizontal="center"/>
    </xf>
    <xf numFmtId="175" fontId="25" fillId="5" borderId="0" xfId="0" applyNumberFormat="1" applyFont="1" applyFill="1" applyAlignment="1">
      <alignment horizontal="right"/>
    </xf>
    <xf numFmtId="0" fontId="36" fillId="5" borderId="0" xfId="0" applyFont="1" applyFill="1" applyAlignment="1">
      <alignment vertical="center"/>
    </xf>
    <xf numFmtId="0" fontId="36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/>
    </xf>
    <xf numFmtId="0" fontId="25" fillId="5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 applyProtection="1">
      <alignment/>
      <protection hidden="1"/>
    </xf>
    <xf numFmtId="0" fontId="25" fillId="5" borderId="0" xfId="0" applyFont="1" applyFill="1" applyBorder="1" applyAlignment="1" applyProtection="1">
      <alignment/>
      <protection hidden="1"/>
    </xf>
    <xf numFmtId="0" fontId="25" fillId="5" borderId="0" xfId="0" applyFont="1" applyFill="1" applyAlignment="1" applyProtection="1">
      <alignment/>
      <protection hidden="1"/>
    </xf>
    <xf numFmtId="0" fontId="25" fillId="5" borderId="0" xfId="0" applyFont="1" applyFill="1" applyAlignment="1" applyProtection="1">
      <alignment horizontal="center"/>
      <protection hidden="1"/>
    </xf>
    <xf numFmtId="0" fontId="25" fillId="5" borderId="0" xfId="0" applyNumberFormat="1" applyFont="1" applyFill="1" applyAlignment="1" applyProtection="1">
      <alignment horizontal="center"/>
      <protection hidden="1"/>
    </xf>
    <xf numFmtId="0" fontId="37" fillId="5" borderId="0" xfId="0" applyFont="1" applyFill="1" applyBorder="1" applyAlignment="1">
      <alignment horizontal="left" vertical="center"/>
    </xf>
    <xf numFmtId="186" fontId="38" fillId="5" borderId="0" xfId="0" applyNumberFormat="1" applyFont="1" applyFill="1" applyAlignment="1">
      <alignment horizontal="center"/>
    </xf>
    <xf numFmtId="0" fontId="38" fillId="5" borderId="0" xfId="0" applyFont="1" applyFill="1" applyBorder="1" applyAlignment="1" applyProtection="1">
      <alignment horizontal="center" vertical="center" wrapText="1"/>
      <protection hidden="1"/>
    </xf>
    <xf numFmtId="185" fontId="38" fillId="5" borderId="4" xfId="0" applyNumberFormat="1" applyFont="1" applyFill="1" applyBorder="1" applyAlignment="1" applyProtection="1">
      <alignment horizontal="center" vertical="center"/>
      <protection hidden="1"/>
    </xf>
    <xf numFmtId="0" fontId="25" fillId="5" borderId="0" xfId="0" applyFont="1" applyFill="1" applyBorder="1" applyAlignment="1" applyProtection="1">
      <alignment horizontal="center"/>
      <protection hidden="1"/>
    </xf>
    <xf numFmtId="185" fontId="38" fillId="5" borderId="0" xfId="0" applyNumberFormat="1" applyFont="1" applyFill="1" applyBorder="1" applyAlignment="1" applyProtection="1">
      <alignment horizontal="left"/>
      <protection hidden="1"/>
    </xf>
    <xf numFmtId="0" fontId="39" fillId="5" borderId="0" xfId="0" applyFont="1" applyFill="1" applyBorder="1" applyAlignment="1" applyProtection="1">
      <alignment horizontal="center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8" fillId="5" borderId="0" xfId="0" applyFont="1" applyFill="1" applyBorder="1" applyAlignment="1" applyProtection="1">
      <alignment horizontal="center"/>
      <protection hidden="1"/>
    </xf>
    <xf numFmtId="183" fontId="38" fillId="5" borderId="0" xfId="0" applyNumberFormat="1" applyFont="1" applyFill="1" applyBorder="1" applyAlignment="1" applyProtection="1">
      <alignment horizontal="center"/>
      <protection hidden="1"/>
    </xf>
    <xf numFmtId="0" fontId="38" fillId="5" borderId="0" xfId="0" applyFont="1" applyFill="1" applyBorder="1" applyAlignment="1" applyProtection="1">
      <alignment horizontal="center"/>
      <protection hidden="1"/>
    </xf>
    <xf numFmtId="183" fontId="38" fillId="5" borderId="0" xfId="0" applyNumberFormat="1" applyFont="1" applyFill="1" applyBorder="1" applyAlignment="1" applyProtection="1">
      <alignment horizontal="center"/>
      <protection hidden="1"/>
    </xf>
    <xf numFmtId="0" fontId="37" fillId="5" borderId="0" xfId="0" applyFont="1" applyFill="1" applyBorder="1" applyAlignment="1" applyProtection="1">
      <alignment horizontal="center" vertical="top"/>
      <protection hidden="1"/>
    </xf>
    <xf numFmtId="0" fontId="25" fillId="5" borderId="0" xfId="0" applyFont="1" applyFill="1" applyAlignment="1">
      <alignment horizontal="center"/>
    </xf>
    <xf numFmtId="0" fontId="23" fillId="3" borderId="0" xfId="0" applyFont="1" applyFill="1" applyAlignment="1">
      <alignment/>
    </xf>
    <xf numFmtId="185" fontId="40" fillId="3" borderId="2" xfId="0" applyNumberFormat="1" applyFont="1" applyFill="1" applyBorder="1" applyAlignment="1" applyProtection="1">
      <alignment horizontal="center"/>
      <protection hidden="1"/>
    </xf>
    <xf numFmtId="185" fontId="23" fillId="3" borderId="0" xfId="0" applyNumberFormat="1" applyFont="1" applyFill="1" applyAlignment="1">
      <alignment/>
    </xf>
    <xf numFmtId="0" fontId="40" fillId="3" borderId="3" xfId="0" applyFont="1" applyFill="1" applyBorder="1" applyAlignment="1">
      <alignment horizontal="center"/>
    </xf>
    <xf numFmtId="0" fontId="23" fillId="3" borderId="0" xfId="0" applyFont="1" applyFill="1" applyAlignment="1" applyProtection="1">
      <alignment/>
      <protection hidden="1"/>
    </xf>
    <xf numFmtId="0" fontId="23" fillId="3" borderId="1" xfId="0" applyFont="1" applyFill="1" applyBorder="1" applyAlignment="1" applyProtection="1">
      <alignment horizontal="center"/>
      <protection hidden="1"/>
    </xf>
    <xf numFmtId="0" fontId="41" fillId="3" borderId="0" xfId="0" applyFont="1" applyFill="1" applyAlignment="1">
      <alignment horizontal="left" vertical="center"/>
    </xf>
    <xf numFmtId="0" fontId="42" fillId="3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175" fontId="44" fillId="3" borderId="0" xfId="0" applyNumberFormat="1" applyFont="1" applyFill="1" applyAlignment="1">
      <alignment horizontal="center" vertical="center"/>
    </xf>
    <xf numFmtId="178" fontId="44" fillId="3" borderId="0" xfId="0" applyNumberFormat="1" applyFont="1" applyFill="1" applyAlignment="1">
      <alignment horizontal="center" vertical="center"/>
    </xf>
    <xf numFmtId="0" fontId="42" fillId="3" borderId="0" xfId="0" applyFont="1" applyFill="1" applyAlignment="1">
      <alignment horizontal="center" vertical="center" wrapText="1"/>
    </xf>
    <xf numFmtId="0" fontId="45" fillId="3" borderId="0" xfId="0" applyFont="1" applyFill="1" applyAlignment="1">
      <alignment horizontal="center" vertical="center"/>
    </xf>
    <xf numFmtId="173" fontId="44" fillId="3" borderId="0" xfId="0" applyNumberFormat="1" applyFont="1" applyFill="1" applyAlignment="1">
      <alignment horizontal="right" vertical="center"/>
    </xf>
    <xf numFmtId="174" fontId="44" fillId="3" borderId="0" xfId="0" applyNumberFormat="1" applyFont="1" applyFill="1" applyAlignment="1">
      <alignment horizontal="left" vertical="center"/>
    </xf>
    <xf numFmtId="0" fontId="45" fillId="3" borderId="0" xfId="0" applyFont="1" applyFill="1" applyBorder="1" applyAlignment="1">
      <alignment horizontal="center" vertical="center"/>
    </xf>
    <xf numFmtId="173" fontId="44" fillId="3" borderId="0" xfId="0" applyNumberFormat="1" applyFont="1" applyFill="1" applyBorder="1" applyAlignment="1">
      <alignment horizontal="right" vertical="center"/>
    </xf>
    <xf numFmtId="174" fontId="44" fillId="3" borderId="0" xfId="0" applyNumberFormat="1" applyFont="1" applyFill="1" applyBorder="1" applyAlignment="1">
      <alignment horizontal="left" vertical="center"/>
    </xf>
    <xf numFmtId="0" fontId="42" fillId="3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 applyProtection="1">
      <alignment/>
      <protection hidden="1"/>
    </xf>
    <xf numFmtId="0" fontId="23" fillId="3" borderId="0" xfId="0" applyFont="1" applyFill="1" applyBorder="1" applyAlignment="1" applyProtection="1">
      <alignment/>
      <protection hidden="1"/>
    </xf>
    <xf numFmtId="0" fontId="23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3" fillId="3" borderId="0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47" fillId="2" borderId="0" xfId="0" applyFont="1" applyFill="1" applyAlignment="1">
      <alignment horizontal="center"/>
    </xf>
    <xf numFmtId="0" fontId="48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25"/>
          <c:y val="0.07825"/>
          <c:w val="0.7655"/>
          <c:h val="0.922"/>
        </c:manualLayout>
      </c:layout>
      <c:scatterChart>
        <c:scatterStyle val="smooth"/>
        <c:varyColors val="0"/>
        <c:ser>
          <c:idx val="0"/>
          <c:order val="0"/>
          <c:tx>
            <c:strRef>
              <c:f>rapporteur1!$E$39</c:f>
              <c:strCache>
                <c:ptCount val="1"/>
                <c:pt idx="0">
                  <c:v>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rapporteur1!$E$40:$E$60</c:f>
              <c:numCache/>
            </c:numRef>
          </c:xVal>
          <c:yVal>
            <c:numRef>
              <c:f>rapporteur1!$C$40:$C$60</c:f>
              <c:numCache/>
            </c:numRef>
          </c:yVal>
          <c:smooth val="1"/>
        </c:ser>
        <c:ser>
          <c:idx val="4"/>
          <c:order val="1"/>
          <c:tx>
            <c:v>pi/2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rapporteur1!$AN$2</c:f>
                  <c:strCache>
                    <c:ptCount val="1"/>
                    <c:pt idx="0">
                      <c:v>p/2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xVal>
            <c:strRef>
              <c:f>rapporteur1!#REF!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rapporteur1!#REF!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2"/>
          <c:tx>
            <c:v>v1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2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rapporteur1!$V$28:$V$29</c:f>
              <c:numCache/>
            </c:numRef>
          </c:xVal>
          <c:yVal>
            <c:numRef>
              <c:f>rapporteur1!$W$28:$W$29</c:f>
              <c:numCache/>
            </c:numRef>
          </c:yVal>
          <c:smooth val="1"/>
        </c:ser>
        <c:ser>
          <c:idx val="19"/>
          <c:order val="3"/>
          <c:tx>
            <c:v>V3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A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rapporteur1!$V$30:$V$31</c:f>
              <c:numCache/>
            </c:numRef>
          </c:xVal>
          <c:yVal>
            <c:numRef>
              <c:f>rapporteur1!$W$30:$W$31</c:f>
              <c:numCache/>
            </c:numRef>
          </c:yVal>
          <c:smooth val="1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(rapporteur1!$AI$7,rapporteur1!$AI$6)</c:f>
              <c:numCache/>
            </c:numRef>
          </c:xVal>
          <c:yVal>
            <c:numRef>
              <c:f>(rapporteur1!$AJ$7,rapporteur1!$AJ$6)</c:f>
              <c:numCache/>
            </c:numRef>
          </c:yVal>
          <c:smooth val="1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(rapporteur1!$AJ$7,rapporteur1!$AJ$6)</c:f>
              <c:numCache/>
            </c:numRef>
          </c:xVal>
          <c:yVal>
            <c:numRef>
              <c:f>(rapporteur1!$AI$7,rapporteur1!$AI$6)</c:f>
              <c:numCache/>
            </c:numRef>
          </c:yVal>
          <c:smooth val="1"/>
        </c:ser>
        <c:ser>
          <c:idx val="7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(rapporteur1!$AI$7,rapporteur1!$AI$13)</c:f>
              <c:numCache/>
            </c:numRef>
          </c:xVal>
          <c:yVal>
            <c:numRef>
              <c:f>(rapporteur1!$AJ$7,rapporteur1!$AJ$13)</c:f>
              <c:numCache/>
            </c:numRef>
          </c:yVal>
          <c:smooth val="1"/>
        </c:ser>
        <c:ser>
          <c:idx val="8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(rapporteur1!$AJ$13,rapporteur1!$AJ$7)</c:f>
              <c:numCache/>
            </c:numRef>
          </c:xVal>
          <c:yVal>
            <c:numRef>
              <c:f>(rapporteur1!$AI$13,rapporteur1!$AI$10)</c:f>
              <c:numCache/>
            </c:numRef>
          </c:yVal>
          <c:smooth val="1"/>
        </c:ser>
        <c:axId val="4191946"/>
        <c:axId val="37727515"/>
      </c:scatterChart>
      <c:valAx>
        <c:axId val="4191946"/>
        <c:scaling>
          <c:orientation val="minMax"/>
          <c:max val="10"/>
          <c:min val="-10"/>
        </c:scaling>
        <c:axPos val="b"/>
        <c:delete val="1"/>
        <c:majorTickMark val="cross"/>
        <c:minorTickMark val="cross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37727515"/>
        <c:crosses val="autoZero"/>
        <c:crossBetween val="midCat"/>
        <c:dispUnits/>
        <c:majorUnit val="5"/>
        <c:minorUnit val="1"/>
      </c:valAx>
      <c:valAx>
        <c:axId val="37727515"/>
        <c:scaling>
          <c:orientation val="minMax"/>
          <c:max val="10"/>
          <c:min val="-10"/>
        </c:scaling>
        <c:axPos val="l"/>
        <c:delete val="1"/>
        <c:majorTickMark val="cross"/>
        <c:minorTickMark val="cross"/>
        <c:tickLblPos val="none"/>
        <c:crossAx val="4191946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25"/>
          <c:y val="0.07825"/>
          <c:w val="0.7655"/>
          <c:h val="0.922"/>
        </c:manualLayout>
      </c:layout>
      <c:scatterChart>
        <c:scatterStyle val="smooth"/>
        <c:varyColors val="0"/>
        <c:ser>
          <c:idx val="0"/>
          <c:order val="0"/>
          <c:tx>
            <c:strRef>
              <c:f>Rapporteur2!$E$39</c:f>
              <c:strCache>
                <c:ptCount val="1"/>
                <c:pt idx="0">
                  <c:v>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Rapporteur2!$E$40:$E$60</c:f>
              <c:numCache/>
            </c:numRef>
          </c:xVal>
          <c:yVal>
            <c:numRef>
              <c:f>Rapporteur2!$C$40:$C$60</c:f>
              <c:numCache/>
            </c:numRef>
          </c:yVal>
          <c:smooth val="1"/>
        </c:ser>
        <c:ser>
          <c:idx val="4"/>
          <c:order val="1"/>
          <c:tx>
            <c:v>pi/2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rapporteur1!$AN$2</c:f>
                  <c:strCache>
                    <c:ptCount val="1"/>
                    <c:pt idx="0">
                      <c:v>p/2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xVal>
            <c:strRef>
              <c:f>rapporteur1!#REF!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rapporteur1!#REF!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2"/>
          <c:tx>
            <c:v>v1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2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Rapporteur2!$V$28:$V$29</c:f>
              <c:numCache/>
            </c:numRef>
          </c:xVal>
          <c:yVal>
            <c:numRef>
              <c:f>Rapporteur2!$W$28:$W$29</c:f>
              <c:numCache/>
            </c:numRef>
          </c:yVal>
          <c:smooth val="1"/>
        </c:ser>
        <c:ser>
          <c:idx val="19"/>
          <c:order val="3"/>
          <c:tx>
            <c:v>V3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A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Rapporteur2!$V$30:$V$31</c:f>
              <c:numCache/>
            </c:numRef>
          </c:xVal>
          <c:yVal>
            <c:numRef>
              <c:f>Rapporteur2!$W$30:$W$31</c:f>
              <c:numCache/>
            </c:numRef>
          </c:yVal>
          <c:smooth val="1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(Rapporteur2!$AI$7,Rapporteur2!$AI$6)</c:f>
              <c:numCache/>
            </c:numRef>
          </c:xVal>
          <c:yVal>
            <c:numRef>
              <c:f>(Rapporteur2!$AJ$7,Rapporteur2!$AJ$6)</c:f>
              <c:numCache/>
            </c:numRef>
          </c:yVal>
          <c:smooth val="1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(rapporteur1!$AJ$7,rapporteur1!$AJ$6)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(rapporteur1!$AI$7,rapporteur1!$AI$6)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1"/>
        </c:ser>
        <c:ser>
          <c:idx val="7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(rapporteur1!$AI$7,rapporteur1!$AI$13)</c:f>
              <c:numCache>
                <c:ptCount val="2"/>
                <c:pt idx="0">
                  <c:v>0</c:v>
                </c:pt>
                <c:pt idx="1">
                  <c:v>-10</c:v>
                </c:pt>
              </c:numCache>
            </c:numRef>
          </c:xVal>
          <c:yVal>
            <c:numRef>
              <c:f>(rapporteur1!$AJ$7,rapporteur1!$AJ$13)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(Rapporteur2!$AJ$13,Rapporteur2!$AJ$7)</c:f>
              <c:numCache/>
            </c:numRef>
          </c:xVal>
          <c:yVal>
            <c:numRef>
              <c:f>(Rapporteur2!$AI$13,Rapporteur2!$AI$10)</c:f>
              <c:numCache/>
            </c:numRef>
          </c:yVal>
          <c:smooth val="1"/>
        </c:ser>
        <c:axId val="4003316"/>
        <c:axId val="36029845"/>
      </c:scatterChart>
      <c:valAx>
        <c:axId val="4003316"/>
        <c:scaling>
          <c:orientation val="minMax"/>
          <c:max val="10"/>
          <c:min val="-10"/>
        </c:scaling>
        <c:axPos val="b"/>
        <c:delete val="1"/>
        <c:majorTickMark val="cross"/>
        <c:minorTickMark val="cross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36029845"/>
        <c:crosses val="autoZero"/>
        <c:crossBetween val="midCat"/>
        <c:dispUnits/>
        <c:majorUnit val="5"/>
        <c:minorUnit val="1"/>
      </c:valAx>
      <c:valAx>
        <c:axId val="36029845"/>
        <c:scaling>
          <c:orientation val="minMax"/>
          <c:max val="10"/>
          <c:min val="-10"/>
        </c:scaling>
        <c:axPos val="l"/>
        <c:delete val="1"/>
        <c:majorTickMark val="cross"/>
        <c:minorTickMark val="cross"/>
        <c:tickLblPos val="none"/>
        <c:crossAx val="4003316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25"/>
          <c:y val="0.0715"/>
          <c:w val="0.7655"/>
          <c:h val="0.922"/>
        </c:manualLayout>
      </c:layout>
      <c:scatterChart>
        <c:scatterStyle val="smooth"/>
        <c:varyColors val="0"/>
        <c:ser>
          <c:idx val="0"/>
          <c:order val="0"/>
          <c:tx>
            <c:strRef>
              <c:f>Rapporteur3!$E$39</c:f>
              <c:strCache>
                <c:ptCount val="1"/>
                <c:pt idx="0">
                  <c:v>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Rapporteur3!$E$40:$E$60</c:f>
              <c:numCache/>
            </c:numRef>
          </c:xVal>
          <c:yVal>
            <c:numRef>
              <c:f>Rapporteur3!$C$40:$C$60</c:f>
              <c:numCache/>
            </c:numRef>
          </c:yVal>
          <c:smooth val="1"/>
        </c:ser>
        <c:ser>
          <c:idx val="18"/>
          <c:order val="1"/>
          <c:tx>
            <c:v>v1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2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Rapporteur3!$V$28:$V$29</c:f>
              <c:numCache/>
            </c:numRef>
          </c:xVal>
          <c:yVal>
            <c:numRef>
              <c:f>Rapporteur3!$W$28:$W$29</c:f>
              <c:numCache/>
            </c:numRef>
          </c:yVal>
          <c:smooth val="1"/>
        </c:ser>
        <c:ser>
          <c:idx val="19"/>
          <c:order val="2"/>
          <c:tx>
            <c:v>V3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A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Rapporteur3!$V$30:$V$31</c:f>
              <c:numCache/>
            </c:numRef>
          </c:xVal>
          <c:yVal>
            <c:numRef>
              <c:f>Rapporteur3!$W$30:$W$31</c:f>
              <c:numCache/>
            </c:numRef>
          </c:yVal>
          <c:smooth val="1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(Rapporteur3!$AI$7,Rapporteur3!$AI$6)</c:f>
              <c:numCache/>
            </c:numRef>
          </c:xVal>
          <c:yVal>
            <c:numRef>
              <c:f>(Rapporteur3!$AJ$7,Rapporteur3!$AJ$6)</c:f>
              <c:numCache/>
            </c:numRef>
          </c:yVal>
          <c:smooth val="1"/>
        </c:ser>
        <c:ser>
          <c:idx val="6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(rapporteur1!$AJ$7,rapporteur1!$AJ$6)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(rapporteur1!$AI$7,rapporteur1!$AI$6)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1"/>
        </c:ser>
        <c:ser>
          <c:idx val="7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(rapporteur1!$AI$7,rapporteur1!$AI$13)</c:f>
              <c:numCache>
                <c:ptCount val="2"/>
                <c:pt idx="0">
                  <c:v>0</c:v>
                </c:pt>
                <c:pt idx="1">
                  <c:v>-10</c:v>
                </c:pt>
              </c:numCache>
            </c:numRef>
          </c:xVal>
          <c:yVal>
            <c:numRef>
              <c:f>(rapporteur1!$AJ$7,rapporteur1!$AJ$13)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(Rapporteur2!$AJ$13,Rapporteur2!$AJ$7)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(Rapporteur2!$AI$13,Rapporteur2!$AI$10)</c:f>
              <c:numCach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yVal>
          <c:smooth val="1"/>
        </c:ser>
        <c:axId val="55833150"/>
        <c:axId val="32736303"/>
      </c:scatterChart>
      <c:valAx>
        <c:axId val="55833150"/>
        <c:scaling>
          <c:orientation val="minMax"/>
          <c:max val="10"/>
          <c:min val="-10"/>
        </c:scaling>
        <c:axPos val="b"/>
        <c:delete val="1"/>
        <c:majorTickMark val="cross"/>
        <c:minorTickMark val="cross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32736303"/>
        <c:crosses val="autoZero"/>
        <c:crossBetween val="midCat"/>
        <c:dispUnits/>
        <c:majorUnit val="5"/>
        <c:minorUnit val="1"/>
      </c:valAx>
      <c:valAx>
        <c:axId val="32736303"/>
        <c:scaling>
          <c:orientation val="minMax"/>
          <c:max val="10"/>
          <c:min val="-10"/>
        </c:scaling>
        <c:axPos val="l"/>
        <c:delete val="1"/>
        <c:majorTickMark val="cross"/>
        <c:minorTickMark val="cross"/>
        <c:tickLblPos val="none"/>
        <c:crossAx val="55833150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11</xdr:col>
      <xdr:colOff>742950</xdr:colOff>
      <xdr:row>28</xdr:row>
      <xdr:rowOff>19050</xdr:rowOff>
    </xdr:to>
    <xdr:grpSp>
      <xdr:nvGrpSpPr>
        <xdr:cNvPr id="1" name="Group 220"/>
        <xdr:cNvGrpSpPr>
          <a:grpSpLocks/>
        </xdr:cNvGrpSpPr>
      </xdr:nvGrpSpPr>
      <xdr:grpSpPr>
        <a:xfrm>
          <a:off x="266700" y="857250"/>
          <a:ext cx="8362950" cy="4076700"/>
          <a:chOff x="28" y="90"/>
          <a:chExt cx="878" cy="428"/>
        </a:xfrm>
        <a:solidFill>
          <a:srgbClr val="FFFFFF"/>
        </a:solidFill>
      </xdr:grpSpPr>
      <xdr:sp macro="[0]!PLEIN">
        <xdr:nvSpPr>
          <xdr:cNvPr id="2" name="TextBox 7"/>
          <xdr:cNvSpPr txBox="1">
            <a:spLocks noChangeArrowheads="1"/>
          </xdr:cNvSpPr>
        </xdr:nvSpPr>
        <xdr:spPr>
          <a:xfrm>
            <a:off x="445" y="490"/>
            <a:ext cx="94" cy="18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Plein écran</a:t>
            </a:r>
          </a:p>
        </xdr:txBody>
      </xdr:sp>
      <xdr:sp macro="[0]!FERMER">
        <xdr:nvSpPr>
          <xdr:cNvPr id="3" name="TextBox 8"/>
          <xdr:cNvSpPr txBox="1">
            <a:spLocks noChangeArrowheads="1"/>
          </xdr:cNvSpPr>
        </xdr:nvSpPr>
        <xdr:spPr>
          <a:xfrm>
            <a:off x="114" y="486"/>
            <a:ext cx="144" cy="2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Fermer le plein écran</a:t>
            </a:r>
          </a:p>
        </xdr:txBody>
      </xdr:sp>
      <xdr:pic>
        <xdr:nvPicPr>
          <xdr:cNvPr id="4" name="Picture 2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13"/>
            <a:ext cx="576" cy="3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6" y="103"/>
            <a:ext cx="254" cy="2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36" y="304"/>
            <a:ext cx="254" cy="20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218"/>
          <xdr:cNvSpPr>
            <a:spLocks/>
          </xdr:cNvSpPr>
        </xdr:nvSpPr>
        <xdr:spPr>
          <a:xfrm>
            <a:off x="28" y="90"/>
            <a:ext cx="878" cy="428"/>
          </a:xfrm>
          <a:prstGeom prst="rect">
            <a:avLst/>
          </a:prstGeom>
          <a:noFill/>
          <a:ln w="76200" cmpd="tri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257175</xdr:colOff>
      <xdr:row>0</xdr:row>
      <xdr:rowOff>47625</xdr:rowOff>
    </xdr:from>
    <xdr:to>
      <xdr:col>12</xdr:col>
      <xdr:colOff>76200</xdr:colOff>
      <xdr:row>2</xdr:row>
      <xdr:rowOff>57150</xdr:rowOff>
    </xdr:to>
    <xdr:sp>
      <xdr:nvSpPr>
        <xdr:cNvPr id="8" name="AutoShape 219"/>
        <xdr:cNvSpPr>
          <a:spLocks/>
        </xdr:cNvSpPr>
      </xdr:nvSpPr>
      <xdr:spPr>
        <a:xfrm>
          <a:off x="257175" y="47625"/>
          <a:ext cx="8467725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0000"/>
                  </a:gs>
                  <a:gs pos="50000">
                    <a:srgbClr val="969696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MESURE DES ANGLES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304800</xdr:rowOff>
    </xdr:from>
    <xdr:to>
      <xdr:col>10</xdr:col>
      <xdr:colOff>209550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571500" y="1352550"/>
        <a:ext cx="5248275" cy="946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23</xdr:row>
      <xdr:rowOff>66675</xdr:rowOff>
    </xdr:from>
    <xdr:to>
      <xdr:col>14</xdr:col>
      <xdr:colOff>1238250</xdr:colOff>
      <xdr:row>24</xdr:row>
      <xdr:rowOff>123825</xdr:rowOff>
    </xdr:to>
    <xdr:sp macro="[0]!FERMER">
      <xdr:nvSpPr>
        <xdr:cNvPr id="2" name="TextBox 6"/>
        <xdr:cNvSpPr txBox="1">
          <a:spLocks noChangeArrowheads="1"/>
        </xdr:cNvSpPr>
      </xdr:nvSpPr>
      <xdr:spPr>
        <a:xfrm>
          <a:off x="7105650" y="9353550"/>
          <a:ext cx="1666875" cy="2571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/>
  </xdr:twoCellAnchor>
  <xdr:twoCellAnchor>
    <xdr:from>
      <xdr:col>26</xdr:col>
      <xdr:colOff>180975</xdr:colOff>
      <xdr:row>3</xdr:row>
      <xdr:rowOff>0</xdr:rowOff>
    </xdr:from>
    <xdr:to>
      <xdr:col>26</xdr:col>
      <xdr:colOff>428625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>
          <a:off x="17506950" y="609600"/>
          <a:ext cx="247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38100</xdr:colOff>
      <xdr:row>23</xdr:row>
      <xdr:rowOff>66675</xdr:rowOff>
    </xdr:from>
    <xdr:ext cx="895350" cy="266700"/>
    <xdr:sp macro="[0]!PLEIN">
      <xdr:nvSpPr>
        <xdr:cNvPr id="4" name="TextBox 3"/>
        <xdr:cNvSpPr txBox="1">
          <a:spLocks noChangeArrowheads="1"/>
        </xdr:cNvSpPr>
      </xdr:nvSpPr>
      <xdr:spPr>
        <a:xfrm>
          <a:off x="6210300" y="9353550"/>
          <a:ext cx="895350" cy="2667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 fPrintsWithSheet="0"/>
  </xdr:oneCellAnchor>
  <xdr:twoCellAnchor>
    <xdr:from>
      <xdr:col>12</xdr:col>
      <xdr:colOff>171450</xdr:colOff>
      <xdr:row>3</xdr:row>
      <xdr:rowOff>142875</xdr:rowOff>
    </xdr:from>
    <xdr:to>
      <xdr:col>14</xdr:col>
      <xdr:colOff>581025</xdr:colOff>
      <xdr:row>4</xdr:row>
      <xdr:rowOff>104775</xdr:rowOff>
    </xdr:to>
    <xdr:sp macro="[0]!nouvel">
      <xdr:nvSpPr>
        <xdr:cNvPr id="5" name="TextBox 223"/>
        <xdr:cNvSpPr txBox="1">
          <a:spLocks noChangeArrowheads="1"/>
        </xdr:cNvSpPr>
      </xdr:nvSpPr>
      <xdr:spPr>
        <a:xfrm>
          <a:off x="6343650" y="752475"/>
          <a:ext cx="1771650" cy="238125"/>
        </a:xfrm>
        <a:prstGeom prst="rect">
          <a:avLst/>
        </a:prstGeom>
        <a:solidFill>
          <a:srgbClr val="0000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Nouvelle mesure</a:t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11</xdr:col>
      <xdr:colOff>47625</xdr:colOff>
      <xdr:row>20</xdr:row>
      <xdr:rowOff>123825</xdr:rowOff>
    </xdr:to>
    <xdr:grpSp>
      <xdr:nvGrpSpPr>
        <xdr:cNvPr id="6" name="Group 206"/>
        <xdr:cNvGrpSpPr>
          <a:grpSpLocks/>
        </xdr:cNvGrpSpPr>
      </xdr:nvGrpSpPr>
      <xdr:grpSpPr>
        <a:xfrm rot="9862">
          <a:off x="1152525" y="1047750"/>
          <a:ext cx="4762500" cy="7734300"/>
          <a:chOff x="297" y="123"/>
          <a:chExt cx="515" cy="268"/>
        </a:xfrm>
        <a:solidFill>
          <a:srgbClr val="FFFFFF"/>
        </a:solidFill>
      </xdr:grpSpPr>
      <xdr:sp>
        <xdr:nvSpPr>
          <xdr:cNvPr id="7" name="AutoShape 19"/>
          <xdr:cNvSpPr>
            <a:spLocks/>
          </xdr:cNvSpPr>
        </xdr:nvSpPr>
        <xdr:spPr>
          <a:xfrm>
            <a:off x="297" y="381"/>
            <a:ext cx="515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20"/>
          <xdr:cNvSpPr>
            <a:spLocks/>
          </xdr:cNvSpPr>
        </xdr:nvSpPr>
        <xdr:spPr>
          <a:xfrm>
            <a:off x="554" y="371"/>
            <a:ext cx="0" cy="2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1"/>
          <xdr:cNvSpPr>
            <a:spLocks/>
          </xdr:cNvSpPr>
        </xdr:nvSpPr>
        <xdr:spPr>
          <a:xfrm>
            <a:off x="554" y="242"/>
            <a:ext cx="0" cy="2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2"/>
          <xdr:cNvSpPr>
            <a:spLocks/>
          </xdr:cNvSpPr>
        </xdr:nvSpPr>
        <xdr:spPr>
          <a:xfrm flipV="1">
            <a:off x="788" y="337"/>
            <a:ext cx="15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24"/>
          <xdr:cNvSpPr>
            <a:spLocks/>
          </xdr:cNvSpPr>
        </xdr:nvSpPr>
        <xdr:spPr>
          <a:xfrm flipV="1">
            <a:off x="778" y="294"/>
            <a:ext cx="14" cy="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26"/>
          <xdr:cNvSpPr>
            <a:spLocks/>
          </xdr:cNvSpPr>
        </xdr:nvSpPr>
        <xdr:spPr>
          <a:xfrm flipV="1">
            <a:off x="760" y="254"/>
            <a:ext cx="13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8"/>
          <xdr:cNvSpPr>
            <a:spLocks/>
          </xdr:cNvSpPr>
        </xdr:nvSpPr>
        <xdr:spPr>
          <a:xfrm flipV="1">
            <a:off x="736" y="218"/>
            <a:ext cx="12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30"/>
          <xdr:cNvSpPr>
            <a:spLocks/>
          </xdr:cNvSpPr>
        </xdr:nvSpPr>
        <xdr:spPr>
          <a:xfrm flipV="1">
            <a:off x="707" y="187"/>
            <a:ext cx="10" cy="1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2"/>
          <xdr:cNvSpPr>
            <a:spLocks/>
          </xdr:cNvSpPr>
        </xdr:nvSpPr>
        <xdr:spPr>
          <a:xfrm flipV="1">
            <a:off x="673" y="162"/>
            <a:ext cx="8" cy="1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34"/>
          <xdr:cNvSpPr>
            <a:spLocks/>
          </xdr:cNvSpPr>
        </xdr:nvSpPr>
        <xdr:spPr>
          <a:xfrm flipV="1">
            <a:off x="635" y="143"/>
            <a:ext cx="6" cy="1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 flipV="1">
            <a:off x="595" y="132"/>
            <a:ext cx="3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8"/>
          <xdr:cNvSpPr>
            <a:spLocks/>
          </xdr:cNvSpPr>
        </xdr:nvSpPr>
        <xdr:spPr>
          <a:xfrm flipV="1">
            <a:off x="554" y="128"/>
            <a:ext cx="0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40"/>
          <xdr:cNvSpPr>
            <a:spLocks/>
          </xdr:cNvSpPr>
        </xdr:nvSpPr>
        <xdr:spPr>
          <a:xfrm flipH="1" flipV="1">
            <a:off x="510" y="132"/>
            <a:ext cx="3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42"/>
          <xdr:cNvSpPr>
            <a:spLocks/>
          </xdr:cNvSpPr>
        </xdr:nvSpPr>
        <xdr:spPr>
          <a:xfrm flipH="1" flipV="1">
            <a:off x="467" y="143"/>
            <a:ext cx="6" cy="1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44"/>
          <xdr:cNvSpPr>
            <a:spLocks/>
          </xdr:cNvSpPr>
        </xdr:nvSpPr>
        <xdr:spPr>
          <a:xfrm flipH="1" flipV="1">
            <a:off x="428" y="162"/>
            <a:ext cx="7" cy="1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46"/>
          <xdr:cNvSpPr>
            <a:spLocks/>
          </xdr:cNvSpPr>
        </xdr:nvSpPr>
        <xdr:spPr>
          <a:xfrm flipH="1" flipV="1">
            <a:off x="391" y="187"/>
            <a:ext cx="10" cy="1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8"/>
          <xdr:cNvSpPr>
            <a:spLocks/>
          </xdr:cNvSpPr>
        </xdr:nvSpPr>
        <xdr:spPr>
          <a:xfrm flipH="1" flipV="1">
            <a:off x="360" y="218"/>
            <a:ext cx="12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50"/>
          <xdr:cNvSpPr>
            <a:spLocks/>
          </xdr:cNvSpPr>
        </xdr:nvSpPr>
        <xdr:spPr>
          <a:xfrm flipH="1" flipV="1">
            <a:off x="335" y="254"/>
            <a:ext cx="13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52"/>
          <xdr:cNvSpPr>
            <a:spLocks/>
          </xdr:cNvSpPr>
        </xdr:nvSpPr>
        <xdr:spPr>
          <a:xfrm flipH="1" flipV="1">
            <a:off x="316" y="294"/>
            <a:ext cx="14" cy="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54"/>
          <xdr:cNvSpPr>
            <a:spLocks/>
          </xdr:cNvSpPr>
        </xdr:nvSpPr>
        <xdr:spPr>
          <a:xfrm flipH="1" flipV="1">
            <a:off x="305" y="337"/>
            <a:ext cx="15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6"/>
          <xdr:cNvSpPr>
            <a:spLocks/>
          </xdr:cNvSpPr>
        </xdr:nvSpPr>
        <xdr:spPr>
          <a:xfrm flipV="1">
            <a:off x="796" y="359"/>
            <a:ext cx="10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57"/>
          <xdr:cNvSpPr>
            <a:spLocks/>
          </xdr:cNvSpPr>
        </xdr:nvSpPr>
        <xdr:spPr>
          <a:xfrm flipV="1">
            <a:off x="789" y="315"/>
            <a:ext cx="9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58"/>
          <xdr:cNvSpPr>
            <a:spLocks/>
          </xdr:cNvSpPr>
        </xdr:nvSpPr>
        <xdr:spPr>
          <a:xfrm flipV="1">
            <a:off x="774" y="274"/>
            <a:ext cx="9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59"/>
          <xdr:cNvSpPr>
            <a:spLocks/>
          </xdr:cNvSpPr>
        </xdr:nvSpPr>
        <xdr:spPr>
          <a:xfrm flipV="1">
            <a:off x="753" y="236"/>
            <a:ext cx="8" cy="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60"/>
          <xdr:cNvSpPr>
            <a:spLocks/>
          </xdr:cNvSpPr>
        </xdr:nvSpPr>
        <xdr:spPr>
          <a:xfrm flipV="1">
            <a:off x="726" y="202"/>
            <a:ext cx="7" cy="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61"/>
          <xdr:cNvSpPr>
            <a:spLocks/>
          </xdr:cNvSpPr>
        </xdr:nvSpPr>
        <xdr:spPr>
          <a:xfrm flipV="1">
            <a:off x="693" y="174"/>
            <a:ext cx="6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62"/>
          <xdr:cNvSpPr>
            <a:spLocks/>
          </xdr:cNvSpPr>
        </xdr:nvSpPr>
        <xdr:spPr>
          <a:xfrm flipV="1">
            <a:off x="657" y="152"/>
            <a:ext cx="4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63"/>
          <xdr:cNvSpPr>
            <a:spLocks/>
          </xdr:cNvSpPr>
        </xdr:nvSpPr>
        <xdr:spPr>
          <a:xfrm flipV="1">
            <a:off x="617" y="137"/>
            <a:ext cx="3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64"/>
          <xdr:cNvSpPr>
            <a:spLocks/>
          </xdr:cNvSpPr>
        </xdr:nvSpPr>
        <xdr:spPr>
          <a:xfrm flipV="1">
            <a:off x="575" y="129"/>
            <a:ext cx="1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65"/>
          <xdr:cNvSpPr>
            <a:spLocks/>
          </xdr:cNvSpPr>
        </xdr:nvSpPr>
        <xdr:spPr>
          <a:xfrm flipH="1" flipV="1">
            <a:off x="532" y="129"/>
            <a:ext cx="1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6"/>
          <xdr:cNvSpPr>
            <a:spLocks/>
          </xdr:cNvSpPr>
        </xdr:nvSpPr>
        <xdr:spPr>
          <a:xfrm flipH="1" flipV="1">
            <a:off x="488" y="137"/>
            <a:ext cx="3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67"/>
          <xdr:cNvSpPr>
            <a:spLocks/>
          </xdr:cNvSpPr>
        </xdr:nvSpPr>
        <xdr:spPr>
          <a:xfrm flipH="1" flipV="1">
            <a:off x="447" y="152"/>
            <a:ext cx="4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68"/>
          <xdr:cNvSpPr>
            <a:spLocks/>
          </xdr:cNvSpPr>
        </xdr:nvSpPr>
        <xdr:spPr>
          <a:xfrm flipH="1" flipV="1">
            <a:off x="409" y="174"/>
            <a:ext cx="6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69"/>
          <xdr:cNvSpPr>
            <a:spLocks/>
          </xdr:cNvSpPr>
        </xdr:nvSpPr>
        <xdr:spPr>
          <a:xfrm flipH="1" flipV="1">
            <a:off x="375" y="202"/>
            <a:ext cx="7" cy="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70"/>
          <xdr:cNvSpPr>
            <a:spLocks/>
          </xdr:cNvSpPr>
        </xdr:nvSpPr>
        <xdr:spPr>
          <a:xfrm flipH="1" flipV="1">
            <a:off x="347" y="236"/>
            <a:ext cx="8" cy="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71"/>
          <xdr:cNvSpPr>
            <a:spLocks/>
          </xdr:cNvSpPr>
        </xdr:nvSpPr>
        <xdr:spPr>
          <a:xfrm flipH="1" flipV="1">
            <a:off x="325" y="274"/>
            <a:ext cx="9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72"/>
          <xdr:cNvSpPr>
            <a:spLocks/>
          </xdr:cNvSpPr>
        </xdr:nvSpPr>
        <xdr:spPr>
          <a:xfrm flipH="1" flipV="1">
            <a:off x="310" y="315"/>
            <a:ext cx="9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73"/>
          <xdr:cNvSpPr>
            <a:spLocks/>
          </xdr:cNvSpPr>
        </xdr:nvSpPr>
        <xdr:spPr>
          <a:xfrm flipH="1" flipV="1">
            <a:off x="302" y="359"/>
            <a:ext cx="10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74"/>
          <xdr:cNvSpPr>
            <a:spLocks/>
          </xdr:cNvSpPr>
        </xdr:nvSpPr>
        <xdr:spPr>
          <a:xfrm flipV="1">
            <a:off x="802" y="376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5"/>
          <xdr:cNvSpPr>
            <a:spLocks/>
          </xdr:cNvSpPr>
        </xdr:nvSpPr>
        <xdr:spPr>
          <a:xfrm flipV="1">
            <a:off x="802" y="372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76"/>
          <xdr:cNvSpPr>
            <a:spLocks/>
          </xdr:cNvSpPr>
        </xdr:nvSpPr>
        <xdr:spPr>
          <a:xfrm flipV="1">
            <a:off x="802" y="368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77"/>
          <xdr:cNvSpPr>
            <a:spLocks/>
          </xdr:cNvSpPr>
        </xdr:nvSpPr>
        <xdr:spPr>
          <a:xfrm flipV="1">
            <a:off x="801" y="36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78"/>
          <xdr:cNvSpPr>
            <a:spLocks/>
          </xdr:cNvSpPr>
        </xdr:nvSpPr>
        <xdr:spPr>
          <a:xfrm flipV="1">
            <a:off x="801" y="354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79"/>
          <xdr:cNvSpPr>
            <a:spLocks/>
          </xdr:cNvSpPr>
        </xdr:nvSpPr>
        <xdr:spPr>
          <a:xfrm flipV="1">
            <a:off x="800" y="350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80"/>
          <xdr:cNvSpPr>
            <a:spLocks/>
          </xdr:cNvSpPr>
        </xdr:nvSpPr>
        <xdr:spPr>
          <a:xfrm flipV="1">
            <a:off x="800" y="346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81"/>
          <xdr:cNvSpPr>
            <a:spLocks/>
          </xdr:cNvSpPr>
        </xdr:nvSpPr>
        <xdr:spPr>
          <a:xfrm flipV="1">
            <a:off x="799" y="341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82"/>
          <xdr:cNvSpPr>
            <a:spLocks/>
          </xdr:cNvSpPr>
        </xdr:nvSpPr>
        <xdr:spPr>
          <a:xfrm flipV="1">
            <a:off x="797" y="33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83"/>
          <xdr:cNvSpPr>
            <a:spLocks/>
          </xdr:cNvSpPr>
        </xdr:nvSpPr>
        <xdr:spPr>
          <a:xfrm flipV="1">
            <a:off x="797" y="328"/>
            <a:ext cx="4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84"/>
          <xdr:cNvSpPr>
            <a:spLocks/>
          </xdr:cNvSpPr>
        </xdr:nvSpPr>
        <xdr:spPr>
          <a:xfrm flipV="1">
            <a:off x="796" y="324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85"/>
          <xdr:cNvSpPr>
            <a:spLocks/>
          </xdr:cNvSpPr>
        </xdr:nvSpPr>
        <xdr:spPr>
          <a:xfrm flipV="1">
            <a:off x="795" y="320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86"/>
          <xdr:cNvSpPr>
            <a:spLocks/>
          </xdr:cNvSpPr>
        </xdr:nvSpPr>
        <xdr:spPr>
          <a:xfrm flipV="1">
            <a:off x="792" y="311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87"/>
          <xdr:cNvSpPr>
            <a:spLocks/>
          </xdr:cNvSpPr>
        </xdr:nvSpPr>
        <xdr:spPr>
          <a:xfrm flipV="1">
            <a:off x="791" y="307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88"/>
          <xdr:cNvSpPr>
            <a:spLocks/>
          </xdr:cNvSpPr>
        </xdr:nvSpPr>
        <xdr:spPr>
          <a:xfrm flipV="1">
            <a:off x="790" y="30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89"/>
          <xdr:cNvSpPr>
            <a:spLocks/>
          </xdr:cNvSpPr>
        </xdr:nvSpPr>
        <xdr:spPr>
          <a:xfrm flipV="1">
            <a:off x="788" y="299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90"/>
          <xdr:cNvSpPr>
            <a:spLocks/>
          </xdr:cNvSpPr>
        </xdr:nvSpPr>
        <xdr:spPr>
          <a:xfrm flipV="1">
            <a:off x="785" y="290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91"/>
          <xdr:cNvSpPr>
            <a:spLocks/>
          </xdr:cNvSpPr>
        </xdr:nvSpPr>
        <xdr:spPr>
          <a:xfrm flipV="1">
            <a:off x="784" y="286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92"/>
          <xdr:cNvSpPr>
            <a:spLocks/>
          </xdr:cNvSpPr>
        </xdr:nvSpPr>
        <xdr:spPr>
          <a:xfrm flipV="1">
            <a:off x="782" y="282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93"/>
          <xdr:cNvSpPr>
            <a:spLocks/>
          </xdr:cNvSpPr>
        </xdr:nvSpPr>
        <xdr:spPr>
          <a:xfrm flipV="1">
            <a:off x="781" y="278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94"/>
          <xdr:cNvSpPr>
            <a:spLocks/>
          </xdr:cNvSpPr>
        </xdr:nvSpPr>
        <xdr:spPr>
          <a:xfrm flipV="1">
            <a:off x="777" y="270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95"/>
          <xdr:cNvSpPr>
            <a:spLocks/>
          </xdr:cNvSpPr>
        </xdr:nvSpPr>
        <xdr:spPr>
          <a:xfrm flipV="1">
            <a:off x="775" y="266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96"/>
          <xdr:cNvSpPr>
            <a:spLocks/>
          </xdr:cNvSpPr>
        </xdr:nvSpPr>
        <xdr:spPr>
          <a:xfrm flipV="1">
            <a:off x="773" y="26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97"/>
          <xdr:cNvSpPr>
            <a:spLocks/>
          </xdr:cNvSpPr>
        </xdr:nvSpPr>
        <xdr:spPr>
          <a:xfrm flipV="1">
            <a:off x="771" y="258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98"/>
          <xdr:cNvSpPr>
            <a:spLocks/>
          </xdr:cNvSpPr>
        </xdr:nvSpPr>
        <xdr:spPr>
          <a:xfrm flipV="1">
            <a:off x="767" y="251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99"/>
          <xdr:cNvSpPr>
            <a:spLocks/>
          </xdr:cNvSpPr>
        </xdr:nvSpPr>
        <xdr:spPr>
          <a:xfrm flipV="1">
            <a:off x="764" y="247"/>
            <a:ext cx="5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100"/>
          <xdr:cNvSpPr>
            <a:spLocks/>
          </xdr:cNvSpPr>
        </xdr:nvSpPr>
        <xdr:spPr>
          <a:xfrm flipV="1">
            <a:off x="762" y="243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101"/>
          <xdr:cNvSpPr>
            <a:spLocks/>
          </xdr:cNvSpPr>
        </xdr:nvSpPr>
        <xdr:spPr>
          <a:xfrm flipV="1">
            <a:off x="760" y="240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102"/>
          <xdr:cNvSpPr>
            <a:spLocks/>
          </xdr:cNvSpPr>
        </xdr:nvSpPr>
        <xdr:spPr>
          <a:xfrm flipV="1">
            <a:off x="755" y="23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103"/>
          <xdr:cNvSpPr>
            <a:spLocks/>
          </xdr:cNvSpPr>
        </xdr:nvSpPr>
        <xdr:spPr>
          <a:xfrm flipV="1">
            <a:off x="752" y="229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104"/>
          <xdr:cNvSpPr>
            <a:spLocks/>
          </xdr:cNvSpPr>
        </xdr:nvSpPr>
        <xdr:spPr>
          <a:xfrm flipV="1">
            <a:off x="749" y="225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105"/>
          <xdr:cNvSpPr>
            <a:spLocks/>
          </xdr:cNvSpPr>
        </xdr:nvSpPr>
        <xdr:spPr>
          <a:xfrm flipV="1">
            <a:off x="747" y="22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106"/>
          <xdr:cNvSpPr>
            <a:spLocks/>
          </xdr:cNvSpPr>
        </xdr:nvSpPr>
        <xdr:spPr>
          <a:xfrm flipV="1">
            <a:off x="741" y="215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107"/>
          <xdr:cNvSpPr>
            <a:spLocks/>
          </xdr:cNvSpPr>
        </xdr:nvSpPr>
        <xdr:spPr>
          <a:xfrm flipV="1">
            <a:off x="738" y="21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108"/>
          <xdr:cNvSpPr>
            <a:spLocks/>
          </xdr:cNvSpPr>
        </xdr:nvSpPr>
        <xdr:spPr>
          <a:xfrm flipV="1">
            <a:off x="735" y="208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109"/>
          <xdr:cNvSpPr>
            <a:spLocks/>
          </xdr:cNvSpPr>
        </xdr:nvSpPr>
        <xdr:spPr>
          <a:xfrm flipV="1">
            <a:off x="732" y="205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110"/>
          <xdr:cNvSpPr>
            <a:spLocks/>
          </xdr:cNvSpPr>
        </xdr:nvSpPr>
        <xdr:spPr>
          <a:xfrm flipV="1">
            <a:off x="726" y="199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111"/>
          <xdr:cNvSpPr>
            <a:spLocks/>
          </xdr:cNvSpPr>
        </xdr:nvSpPr>
        <xdr:spPr>
          <a:xfrm flipV="1">
            <a:off x="723" y="196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12"/>
          <xdr:cNvSpPr>
            <a:spLocks/>
          </xdr:cNvSpPr>
        </xdr:nvSpPr>
        <xdr:spPr>
          <a:xfrm flipV="1">
            <a:off x="720" y="193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13"/>
          <xdr:cNvSpPr>
            <a:spLocks/>
          </xdr:cNvSpPr>
        </xdr:nvSpPr>
        <xdr:spPr>
          <a:xfrm flipV="1">
            <a:off x="717" y="190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14"/>
          <xdr:cNvSpPr>
            <a:spLocks/>
          </xdr:cNvSpPr>
        </xdr:nvSpPr>
        <xdr:spPr>
          <a:xfrm flipV="1">
            <a:off x="710" y="184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15"/>
          <xdr:cNvSpPr>
            <a:spLocks/>
          </xdr:cNvSpPr>
        </xdr:nvSpPr>
        <xdr:spPr>
          <a:xfrm flipV="1">
            <a:off x="707" y="182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16"/>
          <xdr:cNvSpPr>
            <a:spLocks/>
          </xdr:cNvSpPr>
        </xdr:nvSpPr>
        <xdr:spPr>
          <a:xfrm flipV="1">
            <a:off x="703" y="179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17"/>
          <xdr:cNvSpPr>
            <a:spLocks/>
          </xdr:cNvSpPr>
        </xdr:nvSpPr>
        <xdr:spPr>
          <a:xfrm flipV="1">
            <a:off x="700" y="176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18"/>
          <xdr:cNvSpPr>
            <a:spLocks/>
          </xdr:cNvSpPr>
        </xdr:nvSpPr>
        <xdr:spPr>
          <a:xfrm flipV="1">
            <a:off x="693" y="171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19"/>
          <xdr:cNvSpPr>
            <a:spLocks/>
          </xdr:cNvSpPr>
        </xdr:nvSpPr>
        <xdr:spPr>
          <a:xfrm flipV="1">
            <a:off x="689" y="169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20"/>
          <xdr:cNvSpPr>
            <a:spLocks/>
          </xdr:cNvSpPr>
        </xdr:nvSpPr>
        <xdr:spPr>
          <a:xfrm flipV="1">
            <a:off x="685" y="166"/>
            <a:ext cx="3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21"/>
          <xdr:cNvSpPr>
            <a:spLocks/>
          </xdr:cNvSpPr>
        </xdr:nvSpPr>
        <xdr:spPr>
          <a:xfrm flipV="1">
            <a:off x="682" y="164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22"/>
          <xdr:cNvSpPr>
            <a:spLocks/>
          </xdr:cNvSpPr>
        </xdr:nvSpPr>
        <xdr:spPr>
          <a:xfrm flipV="1">
            <a:off x="674" y="160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23"/>
          <xdr:cNvSpPr>
            <a:spLocks/>
          </xdr:cNvSpPr>
        </xdr:nvSpPr>
        <xdr:spPr>
          <a:xfrm flipV="1">
            <a:off x="670" y="158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24"/>
          <xdr:cNvSpPr>
            <a:spLocks/>
          </xdr:cNvSpPr>
        </xdr:nvSpPr>
        <xdr:spPr>
          <a:xfrm flipV="1">
            <a:off x="667" y="156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125"/>
          <xdr:cNvSpPr>
            <a:spLocks/>
          </xdr:cNvSpPr>
        </xdr:nvSpPr>
        <xdr:spPr>
          <a:xfrm flipV="1">
            <a:off x="663" y="154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26"/>
          <xdr:cNvSpPr>
            <a:spLocks/>
          </xdr:cNvSpPr>
        </xdr:nvSpPr>
        <xdr:spPr>
          <a:xfrm flipV="1">
            <a:off x="655" y="150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27"/>
          <xdr:cNvSpPr>
            <a:spLocks/>
          </xdr:cNvSpPr>
        </xdr:nvSpPr>
        <xdr:spPr>
          <a:xfrm flipV="1">
            <a:off x="651" y="148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28"/>
          <xdr:cNvSpPr>
            <a:spLocks/>
          </xdr:cNvSpPr>
        </xdr:nvSpPr>
        <xdr:spPr>
          <a:xfrm flipV="1">
            <a:off x="647" y="146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29"/>
          <xdr:cNvSpPr>
            <a:spLocks/>
          </xdr:cNvSpPr>
        </xdr:nvSpPr>
        <xdr:spPr>
          <a:xfrm flipV="1">
            <a:off x="643" y="145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30"/>
          <xdr:cNvSpPr>
            <a:spLocks/>
          </xdr:cNvSpPr>
        </xdr:nvSpPr>
        <xdr:spPr>
          <a:xfrm flipV="1">
            <a:off x="635" y="142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31"/>
          <xdr:cNvSpPr>
            <a:spLocks/>
          </xdr:cNvSpPr>
        </xdr:nvSpPr>
        <xdr:spPr>
          <a:xfrm flipV="1">
            <a:off x="631" y="140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132"/>
          <xdr:cNvSpPr>
            <a:spLocks/>
          </xdr:cNvSpPr>
        </xdr:nvSpPr>
        <xdr:spPr>
          <a:xfrm flipV="1">
            <a:off x="626" y="139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33"/>
          <xdr:cNvSpPr>
            <a:spLocks/>
          </xdr:cNvSpPr>
        </xdr:nvSpPr>
        <xdr:spPr>
          <a:xfrm flipV="1">
            <a:off x="622" y="138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134"/>
          <xdr:cNvSpPr>
            <a:spLocks/>
          </xdr:cNvSpPr>
        </xdr:nvSpPr>
        <xdr:spPr>
          <a:xfrm flipV="1">
            <a:off x="614" y="135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35"/>
          <xdr:cNvSpPr>
            <a:spLocks/>
          </xdr:cNvSpPr>
        </xdr:nvSpPr>
        <xdr:spPr>
          <a:xfrm flipV="1">
            <a:off x="610" y="134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36"/>
          <xdr:cNvSpPr>
            <a:spLocks/>
          </xdr:cNvSpPr>
        </xdr:nvSpPr>
        <xdr:spPr>
          <a:xfrm flipV="1">
            <a:off x="606" y="134"/>
            <a:ext cx="1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37"/>
          <xdr:cNvSpPr>
            <a:spLocks/>
          </xdr:cNvSpPr>
        </xdr:nvSpPr>
        <xdr:spPr>
          <a:xfrm flipV="1">
            <a:off x="601" y="133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38"/>
          <xdr:cNvSpPr>
            <a:spLocks/>
          </xdr:cNvSpPr>
        </xdr:nvSpPr>
        <xdr:spPr>
          <a:xfrm flipV="1">
            <a:off x="593" y="131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39"/>
          <xdr:cNvSpPr>
            <a:spLocks/>
          </xdr:cNvSpPr>
        </xdr:nvSpPr>
        <xdr:spPr>
          <a:xfrm flipV="1">
            <a:off x="589" y="130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140"/>
          <xdr:cNvSpPr>
            <a:spLocks/>
          </xdr:cNvSpPr>
        </xdr:nvSpPr>
        <xdr:spPr>
          <a:xfrm flipV="1">
            <a:off x="584" y="130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141"/>
          <xdr:cNvSpPr>
            <a:spLocks/>
          </xdr:cNvSpPr>
        </xdr:nvSpPr>
        <xdr:spPr>
          <a:xfrm flipV="1">
            <a:off x="580" y="129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42"/>
          <xdr:cNvSpPr>
            <a:spLocks/>
          </xdr:cNvSpPr>
        </xdr:nvSpPr>
        <xdr:spPr>
          <a:xfrm flipV="1">
            <a:off x="571" y="129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143"/>
          <xdr:cNvSpPr>
            <a:spLocks/>
          </xdr:cNvSpPr>
        </xdr:nvSpPr>
        <xdr:spPr>
          <a:xfrm flipV="1">
            <a:off x="567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144"/>
          <xdr:cNvSpPr>
            <a:spLocks/>
          </xdr:cNvSpPr>
        </xdr:nvSpPr>
        <xdr:spPr>
          <a:xfrm flipV="1">
            <a:off x="563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45"/>
          <xdr:cNvSpPr>
            <a:spLocks/>
          </xdr:cNvSpPr>
        </xdr:nvSpPr>
        <xdr:spPr>
          <a:xfrm flipV="1">
            <a:off x="558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46"/>
          <xdr:cNvSpPr>
            <a:spLocks/>
          </xdr:cNvSpPr>
        </xdr:nvSpPr>
        <xdr:spPr>
          <a:xfrm flipH="1" flipV="1">
            <a:off x="550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47"/>
          <xdr:cNvSpPr>
            <a:spLocks/>
          </xdr:cNvSpPr>
        </xdr:nvSpPr>
        <xdr:spPr>
          <a:xfrm flipH="1" flipV="1">
            <a:off x="545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48"/>
          <xdr:cNvSpPr>
            <a:spLocks/>
          </xdr:cNvSpPr>
        </xdr:nvSpPr>
        <xdr:spPr>
          <a:xfrm flipH="1" flipV="1">
            <a:off x="541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49"/>
          <xdr:cNvSpPr>
            <a:spLocks/>
          </xdr:cNvSpPr>
        </xdr:nvSpPr>
        <xdr:spPr>
          <a:xfrm flipH="1" flipV="1">
            <a:off x="536" y="129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50"/>
          <xdr:cNvSpPr>
            <a:spLocks/>
          </xdr:cNvSpPr>
        </xdr:nvSpPr>
        <xdr:spPr>
          <a:xfrm flipH="1" flipV="1">
            <a:off x="528" y="129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151"/>
          <xdr:cNvSpPr>
            <a:spLocks/>
          </xdr:cNvSpPr>
        </xdr:nvSpPr>
        <xdr:spPr>
          <a:xfrm flipH="1" flipV="1">
            <a:off x="523" y="130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152"/>
          <xdr:cNvSpPr>
            <a:spLocks/>
          </xdr:cNvSpPr>
        </xdr:nvSpPr>
        <xdr:spPr>
          <a:xfrm flipH="1" flipV="1">
            <a:off x="519" y="130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AutoShape 153"/>
          <xdr:cNvSpPr>
            <a:spLocks/>
          </xdr:cNvSpPr>
        </xdr:nvSpPr>
        <xdr:spPr>
          <a:xfrm flipH="1" flipV="1">
            <a:off x="514" y="131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54"/>
          <xdr:cNvSpPr>
            <a:spLocks/>
          </xdr:cNvSpPr>
        </xdr:nvSpPr>
        <xdr:spPr>
          <a:xfrm flipH="1" flipV="1">
            <a:off x="506" y="133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55"/>
          <xdr:cNvSpPr>
            <a:spLocks/>
          </xdr:cNvSpPr>
        </xdr:nvSpPr>
        <xdr:spPr>
          <a:xfrm flipH="1" flipV="1">
            <a:off x="501" y="134"/>
            <a:ext cx="1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56"/>
          <xdr:cNvSpPr>
            <a:spLocks/>
          </xdr:cNvSpPr>
        </xdr:nvSpPr>
        <xdr:spPr>
          <a:xfrm flipH="1" flipV="1">
            <a:off x="497" y="134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57"/>
          <xdr:cNvSpPr>
            <a:spLocks/>
          </xdr:cNvSpPr>
        </xdr:nvSpPr>
        <xdr:spPr>
          <a:xfrm flipH="1" flipV="1">
            <a:off x="493" y="135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58"/>
          <xdr:cNvSpPr>
            <a:spLocks/>
          </xdr:cNvSpPr>
        </xdr:nvSpPr>
        <xdr:spPr>
          <a:xfrm flipH="1" flipV="1">
            <a:off x="484" y="138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59"/>
          <xdr:cNvSpPr>
            <a:spLocks/>
          </xdr:cNvSpPr>
        </xdr:nvSpPr>
        <xdr:spPr>
          <a:xfrm flipH="1" flipV="1">
            <a:off x="480" y="139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160"/>
          <xdr:cNvSpPr>
            <a:spLocks/>
          </xdr:cNvSpPr>
        </xdr:nvSpPr>
        <xdr:spPr>
          <a:xfrm flipH="1" flipV="1">
            <a:off x="476" y="140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161"/>
          <xdr:cNvSpPr>
            <a:spLocks/>
          </xdr:cNvSpPr>
        </xdr:nvSpPr>
        <xdr:spPr>
          <a:xfrm flipH="1" flipV="1">
            <a:off x="472" y="142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62"/>
          <xdr:cNvSpPr>
            <a:spLocks/>
          </xdr:cNvSpPr>
        </xdr:nvSpPr>
        <xdr:spPr>
          <a:xfrm flipH="1" flipV="1">
            <a:off x="463" y="145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63"/>
          <xdr:cNvSpPr>
            <a:spLocks/>
          </xdr:cNvSpPr>
        </xdr:nvSpPr>
        <xdr:spPr>
          <a:xfrm flipH="1" flipV="1">
            <a:off x="459" y="146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64"/>
          <xdr:cNvSpPr>
            <a:spLocks/>
          </xdr:cNvSpPr>
        </xdr:nvSpPr>
        <xdr:spPr>
          <a:xfrm flipH="1" flipV="1">
            <a:off x="455" y="148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65"/>
          <xdr:cNvSpPr>
            <a:spLocks/>
          </xdr:cNvSpPr>
        </xdr:nvSpPr>
        <xdr:spPr>
          <a:xfrm flipH="1" flipV="1">
            <a:off x="451" y="150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166"/>
          <xdr:cNvSpPr>
            <a:spLocks/>
          </xdr:cNvSpPr>
        </xdr:nvSpPr>
        <xdr:spPr>
          <a:xfrm flipH="1" flipV="1">
            <a:off x="443" y="154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167"/>
          <xdr:cNvSpPr>
            <a:spLocks/>
          </xdr:cNvSpPr>
        </xdr:nvSpPr>
        <xdr:spPr>
          <a:xfrm flipH="1" flipV="1">
            <a:off x="439" y="156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68"/>
          <xdr:cNvSpPr>
            <a:spLocks/>
          </xdr:cNvSpPr>
        </xdr:nvSpPr>
        <xdr:spPr>
          <a:xfrm flipH="1" flipV="1">
            <a:off x="435" y="158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69"/>
          <xdr:cNvSpPr>
            <a:spLocks/>
          </xdr:cNvSpPr>
        </xdr:nvSpPr>
        <xdr:spPr>
          <a:xfrm flipH="1" flipV="1">
            <a:off x="431" y="160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170"/>
          <xdr:cNvSpPr>
            <a:spLocks/>
          </xdr:cNvSpPr>
        </xdr:nvSpPr>
        <xdr:spPr>
          <a:xfrm flipH="1" flipV="1">
            <a:off x="424" y="164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71"/>
          <xdr:cNvSpPr>
            <a:spLocks/>
          </xdr:cNvSpPr>
        </xdr:nvSpPr>
        <xdr:spPr>
          <a:xfrm flipH="1" flipV="1">
            <a:off x="420" y="166"/>
            <a:ext cx="3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72"/>
          <xdr:cNvSpPr>
            <a:spLocks/>
          </xdr:cNvSpPr>
        </xdr:nvSpPr>
        <xdr:spPr>
          <a:xfrm flipH="1" flipV="1">
            <a:off x="416" y="169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73"/>
          <xdr:cNvSpPr>
            <a:spLocks/>
          </xdr:cNvSpPr>
        </xdr:nvSpPr>
        <xdr:spPr>
          <a:xfrm flipH="1" flipV="1">
            <a:off x="413" y="171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74"/>
          <xdr:cNvSpPr>
            <a:spLocks/>
          </xdr:cNvSpPr>
        </xdr:nvSpPr>
        <xdr:spPr>
          <a:xfrm flipH="1" flipV="1">
            <a:off x="405" y="176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175"/>
          <xdr:cNvSpPr>
            <a:spLocks/>
          </xdr:cNvSpPr>
        </xdr:nvSpPr>
        <xdr:spPr>
          <a:xfrm flipH="1" flipV="1">
            <a:off x="402" y="179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176"/>
          <xdr:cNvSpPr>
            <a:spLocks/>
          </xdr:cNvSpPr>
        </xdr:nvSpPr>
        <xdr:spPr>
          <a:xfrm flipH="1" flipV="1">
            <a:off x="398" y="182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77"/>
          <xdr:cNvSpPr>
            <a:spLocks/>
          </xdr:cNvSpPr>
        </xdr:nvSpPr>
        <xdr:spPr>
          <a:xfrm flipH="1" flipV="1">
            <a:off x="395" y="184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178"/>
          <xdr:cNvSpPr>
            <a:spLocks/>
          </xdr:cNvSpPr>
        </xdr:nvSpPr>
        <xdr:spPr>
          <a:xfrm flipH="1" flipV="1">
            <a:off x="388" y="190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179"/>
          <xdr:cNvSpPr>
            <a:spLocks/>
          </xdr:cNvSpPr>
        </xdr:nvSpPr>
        <xdr:spPr>
          <a:xfrm flipH="1" flipV="1">
            <a:off x="385" y="193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80"/>
          <xdr:cNvSpPr>
            <a:spLocks/>
          </xdr:cNvSpPr>
        </xdr:nvSpPr>
        <xdr:spPr>
          <a:xfrm flipH="1" flipV="1">
            <a:off x="381" y="196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81"/>
          <xdr:cNvSpPr>
            <a:spLocks/>
          </xdr:cNvSpPr>
        </xdr:nvSpPr>
        <xdr:spPr>
          <a:xfrm flipH="1" flipV="1">
            <a:off x="378" y="199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82"/>
          <xdr:cNvSpPr>
            <a:spLocks/>
          </xdr:cNvSpPr>
        </xdr:nvSpPr>
        <xdr:spPr>
          <a:xfrm flipH="1" flipV="1">
            <a:off x="372" y="205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83"/>
          <xdr:cNvSpPr>
            <a:spLocks/>
          </xdr:cNvSpPr>
        </xdr:nvSpPr>
        <xdr:spPr>
          <a:xfrm flipH="1" flipV="1">
            <a:off x="369" y="208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184"/>
          <xdr:cNvSpPr>
            <a:spLocks/>
          </xdr:cNvSpPr>
        </xdr:nvSpPr>
        <xdr:spPr>
          <a:xfrm flipH="1" flipV="1">
            <a:off x="366" y="21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AutoShape 185"/>
          <xdr:cNvSpPr>
            <a:spLocks/>
          </xdr:cNvSpPr>
        </xdr:nvSpPr>
        <xdr:spPr>
          <a:xfrm flipH="1" flipV="1">
            <a:off x="363" y="215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86"/>
          <xdr:cNvSpPr>
            <a:spLocks/>
          </xdr:cNvSpPr>
        </xdr:nvSpPr>
        <xdr:spPr>
          <a:xfrm flipH="1" flipV="1">
            <a:off x="357" y="22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187"/>
          <xdr:cNvSpPr>
            <a:spLocks/>
          </xdr:cNvSpPr>
        </xdr:nvSpPr>
        <xdr:spPr>
          <a:xfrm flipH="1" flipV="1">
            <a:off x="355" y="225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AutoShape 188"/>
          <xdr:cNvSpPr>
            <a:spLocks/>
          </xdr:cNvSpPr>
        </xdr:nvSpPr>
        <xdr:spPr>
          <a:xfrm flipH="1" flipV="1">
            <a:off x="352" y="229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89"/>
          <xdr:cNvSpPr>
            <a:spLocks/>
          </xdr:cNvSpPr>
        </xdr:nvSpPr>
        <xdr:spPr>
          <a:xfrm flipH="1" flipV="1">
            <a:off x="349" y="23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90"/>
          <xdr:cNvSpPr>
            <a:spLocks/>
          </xdr:cNvSpPr>
        </xdr:nvSpPr>
        <xdr:spPr>
          <a:xfrm flipH="1" flipV="1">
            <a:off x="344" y="240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91"/>
          <xdr:cNvSpPr>
            <a:spLocks/>
          </xdr:cNvSpPr>
        </xdr:nvSpPr>
        <xdr:spPr>
          <a:xfrm flipH="1" flipV="1">
            <a:off x="342" y="243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92"/>
          <xdr:cNvSpPr>
            <a:spLocks/>
          </xdr:cNvSpPr>
        </xdr:nvSpPr>
        <xdr:spPr>
          <a:xfrm flipH="1" flipV="1">
            <a:off x="339" y="247"/>
            <a:ext cx="5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AutoShape 193"/>
          <xdr:cNvSpPr>
            <a:spLocks/>
          </xdr:cNvSpPr>
        </xdr:nvSpPr>
        <xdr:spPr>
          <a:xfrm flipH="1" flipV="1">
            <a:off x="337" y="251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AutoShape 194"/>
          <xdr:cNvSpPr>
            <a:spLocks/>
          </xdr:cNvSpPr>
        </xdr:nvSpPr>
        <xdr:spPr>
          <a:xfrm flipH="1" flipV="1">
            <a:off x="333" y="258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95"/>
          <xdr:cNvSpPr>
            <a:spLocks/>
          </xdr:cNvSpPr>
        </xdr:nvSpPr>
        <xdr:spPr>
          <a:xfrm flipH="1" flipV="1">
            <a:off x="331" y="26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196"/>
          <xdr:cNvSpPr>
            <a:spLocks/>
          </xdr:cNvSpPr>
        </xdr:nvSpPr>
        <xdr:spPr>
          <a:xfrm flipH="1" flipV="1">
            <a:off x="329" y="266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197"/>
          <xdr:cNvSpPr>
            <a:spLocks/>
          </xdr:cNvSpPr>
        </xdr:nvSpPr>
        <xdr:spPr>
          <a:xfrm flipH="1" flipV="1">
            <a:off x="327" y="270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98"/>
          <xdr:cNvSpPr>
            <a:spLocks/>
          </xdr:cNvSpPr>
        </xdr:nvSpPr>
        <xdr:spPr>
          <a:xfrm flipH="1" flipV="1">
            <a:off x="323" y="278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99"/>
          <xdr:cNvSpPr>
            <a:spLocks/>
          </xdr:cNvSpPr>
        </xdr:nvSpPr>
        <xdr:spPr>
          <a:xfrm flipH="1" flipV="1">
            <a:off x="321" y="282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200"/>
          <xdr:cNvSpPr>
            <a:spLocks/>
          </xdr:cNvSpPr>
        </xdr:nvSpPr>
        <xdr:spPr>
          <a:xfrm flipH="1" flipV="1">
            <a:off x="319" y="286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01"/>
          <xdr:cNvSpPr>
            <a:spLocks/>
          </xdr:cNvSpPr>
        </xdr:nvSpPr>
        <xdr:spPr>
          <a:xfrm flipH="1" flipV="1">
            <a:off x="318" y="290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202"/>
          <xdr:cNvSpPr>
            <a:spLocks/>
          </xdr:cNvSpPr>
        </xdr:nvSpPr>
        <xdr:spPr>
          <a:xfrm flipH="1" flipV="1">
            <a:off x="315" y="299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203"/>
          <xdr:cNvSpPr>
            <a:spLocks/>
          </xdr:cNvSpPr>
        </xdr:nvSpPr>
        <xdr:spPr>
          <a:xfrm flipH="1" flipV="1">
            <a:off x="313" y="30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04"/>
          <xdr:cNvSpPr>
            <a:spLocks/>
          </xdr:cNvSpPr>
        </xdr:nvSpPr>
        <xdr:spPr>
          <a:xfrm flipH="1" flipV="1">
            <a:off x="312" y="307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205"/>
          <xdr:cNvSpPr>
            <a:spLocks/>
          </xdr:cNvSpPr>
        </xdr:nvSpPr>
        <xdr:spPr>
          <a:xfrm flipH="1" flipV="1">
            <a:off x="311" y="311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AutoShape 206"/>
          <xdr:cNvSpPr>
            <a:spLocks/>
          </xdr:cNvSpPr>
        </xdr:nvSpPr>
        <xdr:spPr>
          <a:xfrm flipH="1" flipV="1">
            <a:off x="308" y="320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207"/>
          <xdr:cNvSpPr>
            <a:spLocks/>
          </xdr:cNvSpPr>
        </xdr:nvSpPr>
        <xdr:spPr>
          <a:xfrm flipH="1" flipV="1">
            <a:off x="307" y="324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208"/>
          <xdr:cNvSpPr>
            <a:spLocks/>
          </xdr:cNvSpPr>
        </xdr:nvSpPr>
        <xdr:spPr>
          <a:xfrm flipH="1" flipV="1">
            <a:off x="307" y="328"/>
            <a:ext cx="4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209"/>
          <xdr:cNvSpPr>
            <a:spLocks/>
          </xdr:cNvSpPr>
        </xdr:nvSpPr>
        <xdr:spPr>
          <a:xfrm flipH="1" flipV="1">
            <a:off x="306" y="33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210"/>
          <xdr:cNvSpPr>
            <a:spLocks/>
          </xdr:cNvSpPr>
        </xdr:nvSpPr>
        <xdr:spPr>
          <a:xfrm flipH="1" flipV="1">
            <a:off x="304" y="341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211"/>
          <xdr:cNvSpPr>
            <a:spLocks/>
          </xdr:cNvSpPr>
        </xdr:nvSpPr>
        <xdr:spPr>
          <a:xfrm flipH="1" flipV="1">
            <a:off x="303" y="346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AutoShape 212"/>
          <xdr:cNvSpPr>
            <a:spLocks/>
          </xdr:cNvSpPr>
        </xdr:nvSpPr>
        <xdr:spPr>
          <a:xfrm flipH="1" flipV="1">
            <a:off x="303" y="350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213"/>
          <xdr:cNvSpPr>
            <a:spLocks/>
          </xdr:cNvSpPr>
        </xdr:nvSpPr>
        <xdr:spPr>
          <a:xfrm flipH="1" flipV="1">
            <a:off x="302" y="354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AutoShape 214"/>
          <xdr:cNvSpPr>
            <a:spLocks/>
          </xdr:cNvSpPr>
        </xdr:nvSpPr>
        <xdr:spPr>
          <a:xfrm flipH="1" flipV="1">
            <a:off x="302" y="36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AutoShape 215"/>
          <xdr:cNvSpPr>
            <a:spLocks/>
          </xdr:cNvSpPr>
        </xdr:nvSpPr>
        <xdr:spPr>
          <a:xfrm flipH="1" flipV="1">
            <a:off x="301" y="368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216"/>
          <xdr:cNvSpPr>
            <a:spLocks/>
          </xdr:cNvSpPr>
        </xdr:nvSpPr>
        <xdr:spPr>
          <a:xfrm flipH="1" flipV="1">
            <a:off x="301" y="372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217"/>
          <xdr:cNvSpPr>
            <a:spLocks/>
          </xdr:cNvSpPr>
        </xdr:nvSpPr>
        <xdr:spPr>
          <a:xfrm flipH="1" flipV="1">
            <a:off x="301" y="376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rc 218"/>
          <xdr:cNvSpPr>
            <a:spLocks/>
          </xdr:cNvSpPr>
        </xdr:nvSpPr>
        <xdr:spPr>
          <a:xfrm>
            <a:off x="387" y="197"/>
            <a:ext cx="331" cy="139"/>
          </a:xfrm>
          <a:prstGeom prst="arc">
            <a:avLst>
              <a:gd name="adj1" fmla="val -54032175"/>
              <a:gd name="adj2" fmla="val -926722"/>
              <a:gd name="adj3" fmla="val 49935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AutoShape 219"/>
          <xdr:cNvSpPr>
            <a:spLocks/>
          </xdr:cNvSpPr>
        </xdr:nvSpPr>
        <xdr:spPr>
          <a:xfrm flipV="1">
            <a:off x="386" y="328"/>
            <a:ext cx="333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Arc 220"/>
          <xdr:cNvSpPr>
            <a:spLocks/>
          </xdr:cNvSpPr>
        </xdr:nvSpPr>
        <xdr:spPr>
          <a:xfrm>
            <a:off x="297" y="123"/>
            <a:ext cx="515" cy="259"/>
          </a:xfrm>
          <a:prstGeom prst="arc">
            <a:avLst>
              <a:gd name="adj1" fmla="val 54071120"/>
              <a:gd name="adj2" fmla="val 442412"/>
              <a:gd name="adj3" fmla="val 50000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619125</xdr:colOff>
      <xdr:row>2</xdr:row>
      <xdr:rowOff>85725</xdr:rowOff>
    </xdr:from>
    <xdr:to>
      <xdr:col>8</xdr:col>
      <xdr:colOff>0</xdr:colOff>
      <xdr:row>4</xdr:row>
      <xdr:rowOff>114300</xdr:rowOff>
    </xdr:to>
    <xdr:grpSp>
      <xdr:nvGrpSpPr>
        <xdr:cNvPr id="209" name="Group 623"/>
        <xdr:cNvGrpSpPr>
          <a:grpSpLocks/>
        </xdr:cNvGrpSpPr>
      </xdr:nvGrpSpPr>
      <xdr:grpSpPr>
        <a:xfrm>
          <a:off x="2581275" y="447675"/>
          <a:ext cx="1228725" cy="552450"/>
          <a:chOff x="734" y="153"/>
          <a:chExt cx="171" cy="77"/>
        </a:xfrm>
        <a:solidFill>
          <a:srgbClr val="FFFFFF"/>
        </a:solidFill>
      </xdr:grpSpPr>
      <xdr:sp macro="[0]!apport">
        <xdr:nvSpPr>
          <xdr:cNvPr id="210" name="TextBox 833"/>
          <xdr:cNvSpPr txBox="1">
            <a:spLocks noChangeArrowheads="1"/>
          </xdr:cNvSpPr>
        </xdr:nvSpPr>
        <xdr:spPr>
          <a:xfrm>
            <a:off x="734" y="153"/>
            <a:ext cx="171" cy="7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11" name="Picture 62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63" y="166"/>
            <a:ext cx="116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190500</xdr:colOff>
      <xdr:row>2</xdr:row>
      <xdr:rowOff>95250</xdr:rowOff>
    </xdr:from>
    <xdr:to>
      <xdr:col>4</xdr:col>
      <xdr:colOff>238125</xdr:colOff>
      <xdr:row>4</xdr:row>
      <xdr:rowOff>104775</xdr:rowOff>
    </xdr:to>
    <xdr:grpSp>
      <xdr:nvGrpSpPr>
        <xdr:cNvPr id="212" name="Group 626"/>
        <xdr:cNvGrpSpPr>
          <a:grpSpLocks/>
        </xdr:cNvGrpSpPr>
      </xdr:nvGrpSpPr>
      <xdr:grpSpPr>
        <a:xfrm>
          <a:off x="419100" y="457200"/>
          <a:ext cx="1019175" cy="533400"/>
          <a:chOff x="823" y="397"/>
          <a:chExt cx="107" cy="56"/>
        </a:xfrm>
        <a:solidFill>
          <a:srgbClr val="FFFFFF"/>
        </a:solidFill>
      </xdr:grpSpPr>
      <xdr:sp macro="[0]!Macro2">
        <xdr:nvSpPr>
          <xdr:cNvPr id="213" name="TextBox 221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rc 625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5715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1228725</xdr:colOff>
      <xdr:row>2</xdr:row>
      <xdr:rowOff>133350</xdr:rowOff>
    </xdr:from>
    <xdr:to>
      <xdr:col>11</xdr:col>
      <xdr:colOff>171450</xdr:colOff>
      <xdr:row>4</xdr:row>
      <xdr:rowOff>95250</xdr:rowOff>
    </xdr:to>
    <xdr:grpSp>
      <xdr:nvGrpSpPr>
        <xdr:cNvPr id="215" name="Group 627"/>
        <xdr:cNvGrpSpPr>
          <a:grpSpLocks/>
        </xdr:cNvGrpSpPr>
      </xdr:nvGrpSpPr>
      <xdr:grpSpPr>
        <a:xfrm flipH="1">
          <a:off x="5038725" y="495300"/>
          <a:ext cx="1000125" cy="485775"/>
          <a:chOff x="823" y="397"/>
          <a:chExt cx="107" cy="56"/>
        </a:xfrm>
        <a:solidFill>
          <a:srgbClr val="FFFFFF"/>
        </a:solidFill>
      </xdr:grpSpPr>
      <xdr:sp macro="[0]!Macro2">
        <xdr:nvSpPr>
          <xdr:cNvPr id="216" name="TextBox 628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rc 629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5715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8</xdr:row>
      <xdr:rowOff>142875</xdr:rowOff>
    </xdr:from>
    <xdr:to>
      <xdr:col>13</xdr:col>
      <xdr:colOff>685800</xdr:colOff>
      <xdr:row>10</xdr:row>
      <xdr:rowOff>38100</xdr:rowOff>
    </xdr:to>
    <xdr:grpSp>
      <xdr:nvGrpSpPr>
        <xdr:cNvPr id="218" name="Group 630"/>
        <xdr:cNvGrpSpPr>
          <a:grpSpLocks/>
        </xdr:cNvGrpSpPr>
      </xdr:nvGrpSpPr>
      <xdr:grpSpPr>
        <a:xfrm>
          <a:off x="7038975" y="6715125"/>
          <a:ext cx="419100" cy="219075"/>
          <a:chOff x="734" y="153"/>
          <a:chExt cx="171" cy="77"/>
        </a:xfrm>
        <a:solidFill>
          <a:srgbClr val="FFFFFF"/>
        </a:solidFill>
      </xdr:grpSpPr>
      <xdr:sp macro="[0]!apport">
        <xdr:nvSpPr>
          <xdr:cNvPr id="219" name="TextBox 631"/>
          <xdr:cNvSpPr txBox="1">
            <a:spLocks noChangeArrowheads="1"/>
          </xdr:cNvSpPr>
        </xdr:nvSpPr>
        <xdr:spPr>
          <a:xfrm>
            <a:off x="734" y="153"/>
            <a:ext cx="171" cy="7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20" name="Picture 63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63" y="166"/>
            <a:ext cx="116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676275</xdr:colOff>
      <xdr:row>11</xdr:row>
      <xdr:rowOff>142875</xdr:rowOff>
    </xdr:from>
    <xdr:to>
      <xdr:col>14</xdr:col>
      <xdr:colOff>1009650</xdr:colOff>
      <xdr:row>13</xdr:row>
      <xdr:rowOff>9525</xdr:rowOff>
    </xdr:to>
    <xdr:grpSp>
      <xdr:nvGrpSpPr>
        <xdr:cNvPr id="221" name="Group 633"/>
        <xdr:cNvGrpSpPr>
          <a:grpSpLocks/>
        </xdr:cNvGrpSpPr>
      </xdr:nvGrpSpPr>
      <xdr:grpSpPr>
        <a:xfrm>
          <a:off x="8210550" y="7200900"/>
          <a:ext cx="333375" cy="190500"/>
          <a:chOff x="823" y="397"/>
          <a:chExt cx="107" cy="56"/>
        </a:xfrm>
        <a:solidFill>
          <a:srgbClr val="FFFFFF"/>
        </a:solidFill>
      </xdr:grpSpPr>
      <xdr:sp macro="[0]!Macro2">
        <xdr:nvSpPr>
          <xdr:cNvPr id="222" name="TextBox 634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Arc 635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1270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1028700</xdr:colOff>
      <xdr:row>11</xdr:row>
      <xdr:rowOff>142875</xdr:rowOff>
    </xdr:from>
    <xdr:to>
      <xdr:col>14</xdr:col>
      <xdr:colOff>1371600</xdr:colOff>
      <xdr:row>13</xdr:row>
      <xdr:rowOff>19050</xdr:rowOff>
    </xdr:to>
    <xdr:grpSp>
      <xdr:nvGrpSpPr>
        <xdr:cNvPr id="224" name="Group 636"/>
        <xdr:cNvGrpSpPr>
          <a:grpSpLocks/>
        </xdr:cNvGrpSpPr>
      </xdr:nvGrpSpPr>
      <xdr:grpSpPr>
        <a:xfrm flipH="1">
          <a:off x="8562975" y="7200900"/>
          <a:ext cx="342900" cy="200025"/>
          <a:chOff x="823" y="397"/>
          <a:chExt cx="107" cy="56"/>
        </a:xfrm>
        <a:solidFill>
          <a:srgbClr val="FFFFFF"/>
        </a:solidFill>
      </xdr:grpSpPr>
      <xdr:sp macro="[0]!Macro2">
        <xdr:nvSpPr>
          <xdr:cNvPr id="225" name="TextBox 637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Arc 638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1270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304800</xdr:rowOff>
    </xdr:from>
    <xdr:to>
      <xdr:col>10</xdr:col>
      <xdr:colOff>209550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571500" y="1352550"/>
        <a:ext cx="5248275" cy="946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361950</xdr:colOff>
      <xdr:row>23</xdr:row>
      <xdr:rowOff>76200</xdr:rowOff>
    </xdr:from>
    <xdr:to>
      <xdr:col>14</xdr:col>
      <xdr:colOff>1266825</xdr:colOff>
      <xdr:row>24</xdr:row>
      <xdr:rowOff>133350</xdr:rowOff>
    </xdr:to>
    <xdr:sp macro="[0]!FERMER">
      <xdr:nvSpPr>
        <xdr:cNvPr id="2" name="TextBox 2"/>
        <xdr:cNvSpPr txBox="1">
          <a:spLocks noChangeArrowheads="1"/>
        </xdr:cNvSpPr>
      </xdr:nvSpPr>
      <xdr:spPr>
        <a:xfrm>
          <a:off x="7134225" y="9363075"/>
          <a:ext cx="1666875" cy="2571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/>
  </xdr:twoCellAnchor>
  <xdr:twoCellAnchor>
    <xdr:from>
      <xdr:col>26</xdr:col>
      <xdr:colOff>180975</xdr:colOff>
      <xdr:row>3</xdr:row>
      <xdr:rowOff>0</xdr:rowOff>
    </xdr:from>
    <xdr:to>
      <xdr:col>26</xdr:col>
      <xdr:colOff>428625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>
          <a:off x="17506950" y="609600"/>
          <a:ext cx="247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38100</xdr:colOff>
      <xdr:row>23</xdr:row>
      <xdr:rowOff>66675</xdr:rowOff>
    </xdr:from>
    <xdr:ext cx="895350" cy="266700"/>
    <xdr:sp macro="[0]!PLEIN">
      <xdr:nvSpPr>
        <xdr:cNvPr id="4" name="TextBox 5"/>
        <xdr:cNvSpPr txBox="1">
          <a:spLocks noChangeArrowheads="1"/>
        </xdr:cNvSpPr>
      </xdr:nvSpPr>
      <xdr:spPr>
        <a:xfrm>
          <a:off x="6210300" y="9353550"/>
          <a:ext cx="895350" cy="2667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 fPrintsWithSheet="0"/>
  </xdr:oneCellAnchor>
  <xdr:twoCellAnchor>
    <xdr:from>
      <xdr:col>12</xdr:col>
      <xdr:colOff>171450</xdr:colOff>
      <xdr:row>3</xdr:row>
      <xdr:rowOff>142875</xdr:rowOff>
    </xdr:from>
    <xdr:to>
      <xdr:col>14</xdr:col>
      <xdr:colOff>581025</xdr:colOff>
      <xdr:row>4</xdr:row>
      <xdr:rowOff>104775</xdr:rowOff>
    </xdr:to>
    <xdr:sp macro="[0]!nouveau">
      <xdr:nvSpPr>
        <xdr:cNvPr id="5" name="TextBox 7"/>
        <xdr:cNvSpPr txBox="1">
          <a:spLocks noChangeArrowheads="1"/>
        </xdr:cNvSpPr>
      </xdr:nvSpPr>
      <xdr:spPr>
        <a:xfrm>
          <a:off x="6343650" y="752475"/>
          <a:ext cx="1771650" cy="238125"/>
        </a:xfrm>
        <a:prstGeom prst="rect">
          <a:avLst/>
        </a:prstGeom>
        <a:solidFill>
          <a:srgbClr val="0000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Nouvelle mesure</a:t>
          </a:r>
        </a:p>
      </xdr:txBody>
    </xdr:sp>
    <xdr:clientData/>
  </xdr:twoCellAnchor>
  <xdr:twoCellAnchor>
    <xdr:from>
      <xdr:col>5</xdr:col>
      <xdr:colOff>38100</xdr:colOff>
      <xdr:row>5</xdr:row>
      <xdr:rowOff>3981450</xdr:rowOff>
    </xdr:from>
    <xdr:to>
      <xdr:col>8</xdr:col>
      <xdr:colOff>714375</xdr:colOff>
      <xdr:row>33</xdr:row>
      <xdr:rowOff>171450</xdr:rowOff>
    </xdr:to>
    <xdr:grpSp>
      <xdr:nvGrpSpPr>
        <xdr:cNvPr id="6" name="Group 207"/>
        <xdr:cNvGrpSpPr>
          <a:grpSpLocks/>
        </xdr:cNvGrpSpPr>
      </xdr:nvGrpSpPr>
      <xdr:grpSpPr>
        <a:xfrm rot="38102424">
          <a:off x="2000250" y="5029200"/>
          <a:ext cx="2524125" cy="6210300"/>
          <a:chOff x="297" y="123"/>
          <a:chExt cx="515" cy="268"/>
        </a:xfrm>
        <a:solidFill>
          <a:srgbClr val="FFFFFF"/>
        </a:solidFill>
      </xdr:grpSpPr>
      <xdr:sp>
        <xdr:nvSpPr>
          <xdr:cNvPr id="7" name="AutoShape 9"/>
          <xdr:cNvSpPr>
            <a:spLocks/>
          </xdr:cNvSpPr>
        </xdr:nvSpPr>
        <xdr:spPr>
          <a:xfrm>
            <a:off x="297" y="381"/>
            <a:ext cx="515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0"/>
          <xdr:cNvSpPr>
            <a:spLocks/>
          </xdr:cNvSpPr>
        </xdr:nvSpPr>
        <xdr:spPr>
          <a:xfrm>
            <a:off x="554" y="371"/>
            <a:ext cx="0" cy="2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1"/>
          <xdr:cNvSpPr>
            <a:spLocks/>
          </xdr:cNvSpPr>
        </xdr:nvSpPr>
        <xdr:spPr>
          <a:xfrm>
            <a:off x="554" y="242"/>
            <a:ext cx="0" cy="2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2"/>
          <xdr:cNvSpPr>
            <a:spLocks/>
          </xdr:cNvSpPr>
        </xdr:nvSpPr>
        <xdr:spPr>
          <a:xfrm flipV="1">
            <a:off x="788" y="337"/>
            <a:ext cx="15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4"/>
          <xdr:cNvSpPr>
            <a:spLocks/>
          </xdr:cNvSpPr>
        </xdr:nvSpPr>
        <xdr:spPr>
          <a:xfrm flipV="1">
            <a:off x="778" y="294"/>
            <a:ext cx="14" cy="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6"/>
          <xdr:cNvSpPr>
            <a:spLocks/>
          </xdr:cNvSpPr>
        </xdr:nvSpPr>
        <xdr:spPr>
          <a:xfrm flipV="1">
            <a:off x="760" y="254"/>
            <a:ext cx="13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8"/>
          <xdr:cNvSpPr>
            <a:spLocks/>
          </xdr:cNvSpPr>
        </xdr:nvSpPr>
        <xdr:spPr>
          <a:xfrm flipV="1">
            <a:off x="736" y="218"/>
            <a:ext cx="12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0"/>
          <xdr:cNvSpPr>
            <a:spLocks/>
          </xdr:cNvSpPr>
        </xdr:nvSpPr>
        <xdr:spPr>
          <a:xfrm flipV="1">
            <a:off x="707" y="187"/>
            <a:ext cx="10" cy="1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2"/>
          <xdr:cNvSpPr>
            <a:spLocks/>
          </xdr:cNvSpPr>
        </xdr:nvSpPr>
        <xdr:spPr>
          <a:xfrm flipV="1">
            <a:off x="673" y="162"/>
            <a:ext cx="8" cy="1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4"/>
          <xdr:cNvSpPr>
            <a:spLocks/>
          </xdr:cNvSpPr>
        </xdr:nvSpPr>
        <xdr:spPr>
          <a:xfrm flipV="1">
            <a:off x="635" y="143"/>
            <a:ext cx="6" cy="1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6"/>
          <xdr:cNvSpPr>
            <a:spLocks/>
          </xdr:cNvSpPr>
        </xdr:nvSpPr>
        <xdr:spPr>
          <a:xfrm flipV="1">
            <a:off x="595" y="132"/>
            <a:ext cx="3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8"/>
          <xdr:cNvSpPr>
            <a:spLocks/>
          </xdr:cNvSpPr>
        </xdr:nvSpPr>
        <xdr:spPr>
          <a:xfrm flipV="1">
            <a:off x="554" y="128"/>
            <a:ext cx="0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30"/>
          <xdr:cNvSpPr>
            <a:spLocks/>
          </xdr:cNvSpPr>
        </xdr:nvSpPr>
        <xdr:spPr>
          <a:xfrm flipH="1" flipV="1">
            <a:off x="510" y="132"/>
            <a:ext cx="3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2"/>
          <xdr:cNvSpPr>
            <a:spLocks/>
          </xdr:cNvSpPr>
        </xdr:nvSpPr>
        <xdr:spPr>
          <a:xfrm flipH="1" flipV="1">
            <a:off x="467" y="143"/>
            <a:ext cx="6" cy="1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4"/>
          <xdr:cNvSpPr>
            <a:spLocks/>
          </xdr:cNvSpPr>
        </xdr:nvSpPr>
        <xdr:spPr>
          <a:xfrm flipH="1" flipV="1">
            <a:off x="428" y="162"/>
            <a:ext cx="7" cy="1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6"/>
          <xdr:cNvSpPr>
            <a:spLocks/>
          </xdr:cNvSpPr>
        </xdr:nvSpPr>
        <xdr:spPr>
          <a:xfrm flipH="1" flipV="1">
            <a:off x="391" y="187"/>
            <a:ext cx="10" cy="1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8"/>
          <xdr:cNvSpPr>
            <a:spLocks/>
          </xdr:cNvSpPr>
        </xdr:nvSpPr>
        <xdr:spPr>
          <a:xfrm flipH="1" flipV="1">
            <a:off x="360" y="218"/>
            <a:ext cx="12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40"/>
          <xdr:cNvSpPr>
            <a:spLocks/>
          </xdr:cNvSpPr>
        </xdr:nvSpPr>
        <xdr:spPr>
          <a:xfrm flipH="1" flipV="1">
            <a:off x="335" y="254"/>
            <a:ext cx="13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2"/>
          <xdr:cNvSpPr>
            <a:spLocks/>
          </xdr:cNvSpPr>
        </xdr:nvSpPr>
        <xdr:spPr>
          <a:xfrm flipH="1" flipV="1">
            <a:off x="316" y="294"/>
            <a:ext cx="14" cy="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4"/>
          <xdr:cNvSpPr>
            <a:spLocks/>
          </xdr:cNvSpPr>
        </xdr:nvSpPr>
        <xdr:spPr>
          <a:xfrm flipH="1" flipV="1">
            <a:off x="305" y="337"/>
            <a:ext cx="15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6"/>
          <xdr:cNvSpPr>
            <a:spLocks/>
          </xdr:cNvSpPr>
        </xdr:nvSpPr>
        <xdr:spPr>
          <a:xfrm flipV="1">
            <a:off x="796" y="359"/>
            <a:ext cx="10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7"/>
          <xdr:cNvSpPr>
            <a:spLocks/>
          </xdr:cNvSpPr>
        </xdr:nvSpPr>
        <xdr:spPr>
          <a:xfrm flipV="1">
            <a:off x="789" y="315"/>
            <a:ext cx="9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8"/>
          <xdr:cNvSpPr>
            <a:spLocks/>
          </xdr:cNvSpPr>
        </xdr:nvSpPr>
        <xdr:spPr>
          <a:xfrm flipV="1">
            <a:off x="774" y="274"/>
            <a:ext cx="9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9"/>
          <xdr:cNvSpPr>
            <a:spLocks/>
          </xdr:cNvSpPr>
        </xdr:nvSpPr>
        <xdr:spPr>
          <a:xfrm flipV="1">
            <a:off x="753" y="236"/>
            <a:ext cx="8" cy="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50"/>
          <xdr:cNvSpPr>
            <a:spLocks/>
          </xdr:cNvSpPr>
        </xdr:nvSpPr>
        <xdr:spPr>
          <a:xfrm flipV="1">
            <a:off x="726" y="202"/>
            <a:ext cx="7" cy="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51"/>
          <xdr:cNvSpPr>
            <a:spLocks/>
          </xdr:cNvSpPr>
        </xdr:nvSpPr>
        <xdr:spPr>
          <a:xfrm flipV="1">
            <a:off x="693" y="174"/>
            <a:ext cx="6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2"/>
          <xdr:cNvSpPr>
            <a:spLocks/>
          </xdr:cNvSpPr>
        </xdr:nvSpPr>
        <xdr:spPr>
          <a:xfrm flipV="1">
            <a:off x="657" y="152"/>
            <a:ext cx="4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3"/>
          <xdr:cNvSpPr>
            <a:spLocks/>
          </xdr:cNvSpPr>
        </xdr:nvSpPr>
        <xdr:spPr>
          <a:xfrm flipV="1">
            <a:off x="617" y="137"/>
            <a:ext cx="3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4"/>
          <xdr:cNvSpPr>
            <a:spLocks/>
          </xdr:cNvSpPr>
        </xdr:nvSpPr>
        <xdr:spPr>
          <a:xfrm flipV="1">
            <a:off x="575" y="129"/>
            <a:ext cx="1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5"/>
          <xdr:cNvSpPr>
            <a:spLocks/>
          </xdr:cNvSpPr>
        </xdr:nvSpPr>
        <xdr:spPr>
          <a:xfrm flipH="1" flipV="1">
            <a:off x="532" y="129"/>
            <a:ext cx="1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6"/>
          <xdr:cNvSpPr>
            <a:spLocks/>
          </xdr:cNvSpPr>
        </xdr:nvSpPr>
        <xdr:spPr>
          <a:xfrm flipH="1" flipV="1">
            <a:off x="488" y="137"/>
            <a:ext cx="3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7"/>
          <xdr:cNvSpPr>
            <a:spLocks/>
          </xdr:cNvSpPr>
        </xdr:nvSpPr>
        <xdr:spPr>
          <a:xfrm flipH="1" flipV="1">
            <a:off x="447" y="152"/>
            <a:ext cx="4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58"/>
          <xdr:cNvSpPr>
            <a:spLocks/>
          </xdr:cNvSpPr>
        </xdr:nvSpPr>
        <xdr:spPr>
          <a:xfrm flipH="1" flipV="1">
            <a:off x="409" y="174"/>
            <a:ext cx="6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59"/>
          <xdr:cNvSpPr>
            <a:spLocks/>
          </xdr:cNvSpPr>
        </xdr:nvSpPr>
        <xdr:spPr>
          <a:xfrm flipH="1" flipV="1">
            <a:off x="375" y="202"/>
            <a:ext cx="7" cy="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60"/>
          <xdr:cNvSpPr>
            <a:spLocks/>
          </xdr:cNvSpPr>
        </xdr:nvSpPr>
        <xdr:spPr>
          <a:xfrm flipH="1" flipV="1">
            <a:off x="347" y="236"/>
            <a:ext cx="8" cy="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61"/>
          <xdr:cNvSpPr>
            <a:spLocks/>
          </xdr:cNvSpPr>
        </xdr:nvSpPr>
        <xdr:spPr>
          <a:xfrm flipH="1" flipV="1">
            <a:off x="325" y="274"/>
            <a:ext cx="9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2"/>
          <xdr:cNvSpPr>
            <a:spLocks/>
          </xdr:cNvSpPr>
        </xdr:nvSpPr>
        <xdr:spPr>
          <a:xfrm flipH="1" flipV="1">
            <a:off x="310" y="315"/>
            <a:ext cx="9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3"/>
          <xdr:cNvSpPr>
            <a:spLocks/>
          </xdr:cNvSpPr>
        </xdr:nvSpPr>
        <xdr:spPr>
          <a:xfrm flipH="1" flipV="1">
            <a:off x="302" y="359"/>
            <a:ext cx="10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4"/>
          <xdr:cNvSpPr>
            <a:spLocks/>
          </xdr:cNvSpPr>
        </xdr:nvSpPr>
        <xdr:spPr>
          <a:xfrm flipV="1">
            <a:off x="802" y="376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5"/>
          <xdr:cNvSpPr>
            <a:spLocks/>
          </xdr:cNvSpPr>
        </xdr:nvSpPr>
        <xdr:spPr>
          <a:xfrm flipV="1">
            <a:off x="802" y="372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6"/>
          <xdr:cNvSpPr>
            <a:spLocks/>
          </xdr:cNvSpPr>
        </xdr:nvSpPr>
        <xdr:spPr>
          <a:xfrm flipV="1">
            <a:off x="802" y="368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7"/>
          <xdr:cNvSpPr>
            <a:spLocks/>
          </xdr:cNvSpPr>
        </xdr:nvSpPr>
        <xdr:spPr>
          <a:xfrm flipV="1">
            <a:off x="801" y="36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8"/>
          <xdr:cNvSpPr>
            <a:spLocks/>
          </xdr:cNvSpPr>
        </xdr:nvSpPr>
        <xdr:spPr>
          <a:xfrm flipV="1">
            <a:off x="801" y="354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9"/>
          <xdr:cNvSpPr>
            <a:spLocks/>
          </xdr:cNvSpPr>
        </xdr:nvSpPr>
        <xdr:spPr>
          <a:xfrm flipV="1">
            <a:off x="800" y="350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70"/>
          <xdr:cNvSpPr>
            <a:spLocks/>
          </xdr:cNvSpPr>
        </xdr:nvSpPr>
        <xdr:spPr>
          <a:xfrm flipV="1">
            <a:off x="800" y="346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71"/>
          <xdr:cNvSpPr>
            <a:spLocks/>
          </xdr:cNvSpPr>
        </xdr:nvSpPr>
        <xdr:spPr>
          <a:xfrm flipV="1">
            <a:off x="799" y="341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2"/>
          <xdr:cNvSpPr>
            <a:spLocks/>
          </xdr:cNvSpPr>
        </xdr:nvSpPr>
        <xdr:spPr>
          <a:xfrm flipV="1">
            <a:off x="797" y="33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3"/>
          <xdr:cNvSpPr>
            <a:spLocks/>
          </xdr:cNvSpPr>
        </xdr:nvSpPr>
        <xdr:spPr>
          <a:xfrm flipV="1">
            <a:off x="797" y="328"/>
            <a:ext cx="4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4"/>
          <xdr:cNvSpPr>
            <a:spLocks/>
          </xdr:cNvSpPr>
        </xdr:nvSpPr>
        <xdr:spPr>
          <a:xfrm flipV="1">
            <a:off x="796" y="324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75"/>
          <xdr:cNvSpPr>
            <a:spLocks/>
          </xdr:cNvSpPr>
        </xdr:nvSpPr>
        <xdr:spPr>
          <a:xfrm flipV="1">
            <a:off x="795" y="320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6"/>
          <xdr:cNvSpPr>
            <a:spLocks/>
          </xdr:cNvSpPr>
        </xdr:nvSpPr>
        <xdr:spPr>
          <a:xfrm flipV="1">
            <a:off x="792" y="311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7"/>
          <xdr:cNvSpPr>
            <a:spLocks/>
          </xdr:cNvSpPr>
        </xdr:nvSpPr>
        <xdr:spPr>
          <a:xfrm flipV="1">
            <a:off x="791" y="307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78"/>
          <xdr:cNvSpPr>
            <a:spLocks/>
          </xdr:cNvSpPr>
        </xdr:nvSpPr>
        <xdr:spPr>
          <a:xfrm flipV="1">
            <a:off x="790" y="30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79"/>
          <xdr:cNvSpPr>
            <a:spLocks/>
          </xdr:cNvSpPr>
        </xdr:nvSpPr>
        <xdr:spPr>
          <a:xfrm flipV="1">
            <a:off x="788" y="299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80"/>
          <xdr:cNvSpPr>
            <a:spLocks/>
          </xdr:cNvSpPr>
        </xdr:nvSpPr>
        <xdr:spPr>
          <a:xfrm flipV="1">
            <a:off x="785" y="290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81"/>
          <xdr:cNvSpPr>
            <a:spLocks/>
          </xdr:cNvSpPr>
        </xdr:nvSpPr>
        <xdr:spPr>
          <a:xfrm flipV="1">
            <a:off x="784" y="286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2"/>
          <xdr:cNvSpPr>
            <a:spLocks/>
          </xdr:cNvSpPr>
        </xdr:nvSpPr>
        <xdr:spPr>
          <a:xfrm flipV="1">
            <a:off x="782" y="282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3"/>
          <xdr:cNvSpPr>
            <a:spLocks/>
          </xdr:cNvSpPr>
        </xdr:nvSpPr>
        <xdr:spPr>
          <a:xfrm flipV="1">
            <a:off x="781" y="278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4"/>
          <xdr:cNvSpPr>
            <a:spLocks/>
          </xdr:cNvSpPr>
        </xdr:nvSpPr>
        <xdr:spPr>
          <a:xfrm flipV="1">
            <a:off x="777" y="270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5"/>
          <xdr:cNvSpPr>
            <a:spLocks/>
          </xdr:cNvSpPr>
        </xdr:nvSpPr>
        <xdr:spPr>
          <a:xfrm flipV="1">
            <a:off x="775" y="266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6"/>
          <xdr:cNvSpPr>
            <a:spLocks/>
          </xdr:cNvSpPr>
        </xdr:nvSpPr>
        <xdr:spPr>
          <a:xfrm flipV="1">
            <a:off x="773" y="26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87"/>
          <xdr:cNvSpPr>
            <a:spLocks/>
          </xdr:cNvSpPr>
        </xdr:nvSpPr>
        <xdr:spPr>
          <a:xfrm flipV="1">
            <a:off x="771" y="258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88"/>
          <xdr:cNvSpPr>
            <a:spLocks/>
          </xdr:cNvSpPr>
        </xdr:nvSpPr>
        <xdr:spPr>
          <a:xfrm flipV="1">
            <a:off x="767" y="251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89"/>
          <xdr:cNvSpPr>
            <a:spLocks/>
          </xdr:cNvSpPr>
        </xdr:nvSpPr>
        <xdr:spPr>
          <a:xfrm flipV="1">
            <a:off x="764" y="247"/>
            <a:ext cx="5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90"/>
          <xdr:cNvSpPr>
            <a:spLocks/>
          </xdr:cNvSpPr>
        </xdr:nvSpPr>
        <xdr:spPr>
          <a:xfrm flipV="1">
            <a:off x="762" y="243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91"/>
          <xdr:cNvSpPr>
            <a:spLocks/>
          </xdr:cNvSpPr>
        </xdr:nvSpPr>
        <xdr:spPr>
          <a:xfrm flipV="1">
            <a:off x="760" y="240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2"/>
          <xdr:cNvSpPr>
            <a:spLocks/>
          </xdr:cNvSpPr>
        </xdr:nvSpPr>
        <xdr:spPr>
          <a:xfrm flipV="1">
            <a:off x="755" y="23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3"/>
          <xdr:cNvSpPr>
            <a:spLocks/>
          </xdr:cNvSpPr>
        </xdr:nvSpPr>
        <xdr:spPr>
          <a:xfrm flipV="1">
            <a:off x="752" y="229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94"/>
          <xdr:cNvSpPr>
            <a:spLocks/>
          </xdr:cNvSpPr>
        </xdr:nvSpPr>
        <xdr:spPr>
          <a:xfrm flipV="1">
            <a:off x="749" y="225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95"/>
          <xdr:cNvSpPr>
            <a:spLocks/>
          </xdr:cNvSpPr>
        </xdr:nvSpPr>
        <xdr:spPr>
          <a:xfrm flipV="1">
            <a:off x="747" y="22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6"/>
          <xdr:cNvSpPr>
            <a:spLocks/>
          </xdr:cNvSpPr>
        </xdr:nvSpPr>
        <xdr:spPr>
          <a:xfrm flipV="1">
            <a:off x="741" y="215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7"/>
          <xdr:cNvSpPr>
            <a:spLocks/>
          </xdr:cNvSpPr>
        </xdr:nvSpPr>
        <xdr:spPr>
          <a:xfrm flipV="1">
            <a:off x="738" y="21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8"/>
          <xdr:cNvSpPr>
            <a:spLocks/>
          </xdr:cNvSpPr>
        </xdr:nvSpPr>
        <xdr:spPr>
          <a:xfrm flipV="1">
            <a:off x="735" y="208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9"/>
          <xdr:cNvSpPr>
            <a:spLocks/>
          </xdr:cNvSpPr>
        </xdr:nvSpPr>
        <xdr:spPr>
          <a:xfrm flipV="1">
            <a:off x="732" y="205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100"/>
          <xdr:cNvSpPr>
            <a:spLocks/>
          </xdr:cNvSpPr>
        </xdr:nvSpPr>
        <xdr:spPr>
          <a:xfrm flipV="1">
            <a:off x="726" y="199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101"/>
          <xdr:cNvSpPr>
            <a:spLocks/>
          </xdr:cNvSpPr>
        </xdr:nvSpPr>
        <xdr:spPr>
          <a:xfrm flipV="1">
            <a:off x="723" y="196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2"/>
          <xdr:cNvSpPr>
            <a:spLocks/>
          </xdr:cNvSpPr>
        </xdr:nvSpPr>
        <xdr:spPr>
          <a:xfrm flipV="1">
            <a:off x="720" y="193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3"/>
          <xdr:cNvSpPr>
            <a:spLocks/>
          </xdr:cNvSpPr>
        </xdr:nvSpPr>
        <xdr:spPr>
          <a:xfrm flipV="1">
            <a:off x="717" y="190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4"/>
          <xdr:cNvSpPr>
            <a:spLocks/>
          </xdr:cNvSpPr>
        </xdr:nvSpPr>
        <xdr:spPr>
          <a:xfrm flipV="1">
            <a:off x="710" y="184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5"/>
          <xdr:cNvSpPr>
            <a:spLocks/>
          </xdr:cNvSpPr>
        </xdr:nvSpPr>
        <xdr:spPr>
          <a:xfrm flipV="1">
            <a:off x="707" y="182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6"/>
          <xdr:cNvSpPr>
            <a:spLocks/>
          </xdr:cNvSpPr>
        </xdr:nvSpPr>
        <xdr:spPr>
          <a:xfrm flipV="1">
            <a:off x="703" y="179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7"/>
          <xdr:cNvSpPr>
            <a:spLocks/>
          </xdr:cNvSpPr>
        </xdr:nvSpPr>
        <xdr:spPr>
          <a:xfrm flipV="1">
            <a:off x="700" y="176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8"/>
          <xdr:cNvSpPr>
            <a:spLocks/>
          </xdr:cNvSpPr>
        </xdr:nvSpPr>
        <xdr:spPr>
          <a:xfrm flipV="1">
            <a:off x="693" y="171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9"/>
          <xdr:cNvSpPr>
            <a:spLocks/>
          </xdr:cNvSpPr>
        </xdr:nvSpPr>
        <xdr:spPr>
          <a:xfrm flipV="1">
            <a:off x="689" y="169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10"/>
          <xdr:cNvSpPr>
            <a:spLocks/>
          </xdr:cNvSpPr>
        </xdr:nvSpPr>
        <xdr:spPr>
          <a:xfrm flipV="1">
            <a:off x="685" y="166"/>
            <a:ext cx="3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11"/>
          <xdr:cNvSpPr>
            <a:spLocks/>
          </xdr:cNvSpPr>
        </xdr:nvSpPr>
        <xdr:spPr>
          <a:xfrm flipV="1">
            <a:off x="682" y="164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2"/>
          <xdr:cNvSpPr>
            <a:spLocks/>
          </xdr:cNvSpPr>
        </xdr:nvSpPr>
        <xdr:spPr>
          <a:xfrm flipV="1">
            <a:off x="674" y="160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3"/>
          <xdr:cNvSpPr>
            <a:spLocks/>
          </xdr:cNvSpPr>
        </xdr:nvSpPr>
        <xdr:spPr>
          <a:xfrm flipV="1">
            <a:off x="670" y="158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4"/>
          <xdr:cNvSpPr>
            <a:spLocks/>
          </xdr:cNvSpPr>
        </xdr:nvSpPr>
        <xdr:spPr>
          <a:xfrm flipV="1">
            <a:off x="667" y="156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115"/>
          <xdr:cNvSpPr>
            <a:spLocks/>
          </xdr:cNvSpPr>
        </xdr:nvSpPr>
        <xdr:spPr>
          <a:xfrm flipV="1">
            <a:off x="663" y="154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16"/>
          <xdr:cNvSpPr>
            <a:spLocks/>
          </xdr:cNvSpPr>
        </xdr:nvSpPr>
        <xdr:spPr>
          <a:xfrm flipV="1">
            <a:off x="655" y="150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7"/>
          <xdr:cNvSpPr>
            <a:spLocks/>
          </xdr:cNvSpPr>
        </xdr:nvSpPr>
        <xdr:spPr>
          <a:xfrm flipV="1">
            <a:off x="651" y="148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8"/>
          <xdr:cNvSpPr>
            <a:spLocks/>
          </xdr:cNvSpPr>
        </xdr:nvSpPr>
        <xdr:spPr>
          <a:xfrm flipV="1">
            <a:off x="647" y="146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9"/>
          <xdr:cNvSpPr>
            <a:spLocks/>
          </xdr:cNvSpPr>
        </xdr:nvSpPr>
        <xdr:spPr>
          <a:xfrm flipV="1">
            <a:off x="643" y="145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20"/>
          <xdr:cNvSpPr>
            <a:spLocks/>
          </xdr:cNvSpPr>
        </xdr:nvSpPr>
        <xdr:spPr>
          <a:xfrm flipV="1">
            <a:off x="635" y="142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21"/>
          <xdr:cNvSpPr>
            <a:spLocks/>
          </xdr:cNvSpPr>
        </xdr:nvSpPr>
        <xdr:spPr>
          <a:xfrm flipV="1">
            <a:off x="631" y="140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122"/>
          <xdr:cNvSpPr>
            <a:spLocks/>
          </xdr:cNvSpPr>
        </xdr:nvSpPr>
        <xdr:spPr>
          <a:xfrm flipV="1">
            <a:off x="626" y="139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23"/>
          <xdr:cNvSpPr>
            <a:spLocks/>
          </xdr:cNvSpPr>
        </xdr:nvSpPr>
        <xdr:spPr>
          <a:xfrm flipV="1">
            <a:off x="622" y="138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124"/>
          <xdr:cNvSpPr>
            <a:spLocks/>
          </xdr:cNvSpPr>
        </xdr:nvSpPr>
        <xdr:spPr>
          <a:xfrm flipV="1">
            <a:off x="614" y="135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5"/>
          <xdr:cNvSpPr>
            <a:spLocks/>
          </xdr:cNvSpPr>
        </xdr:nvSpPr>
        <xdr:spPr>
          <a:xfrm flipV="1">
            <a:off x="610" y="134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6"/>
          <xdr:cNvSpPr>
            <a:spLocks/>
          </xdr:cNvSpPr>
        </xdr:nvSpPr>
        <xdr:spPr>
          <a:xfrm flipV="1">
            <a:off x="606" y="134"/>
            <a:ext cx="1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7"/>
          <xdr:cNvSpPr>
            <a:spLocks/>
          </xdr:cNvSpPr>
        </xdr:nvSpPr>
        <xdr:spPr>
          <a:xfrm flipV="1">
            <a:off x="601" y="133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8"/>
          <xdr:cNvSpPr>
            <a:spLocks/>
          </xdr:cNvSpPr>
        </xdr:nvSpPr>
        <xdr:spPr>
          <a:xfrm flipV="1">
            <a:off x="593" y="131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9"/>
          <xdr:cNvSpPr>
            <a:spLocks/>
          </xdr:cNvSpPr>
        </xdr:nvSpPr>
        <xdr:spPr>
          <a:xfrm flipV="1">
            <a:off x="589" y="130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130"/>
          <xdr:cNvSpPr>
            <a:spLocks/>
          </xdr:cNvSpPr>
        </xdr:nvSpPr>
        <xdr:spPr>
          <a:xfrm flipV="1">
            <a:off x="584" y="130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131"/>
          <xdr:cNvSpPr>
            <a:spLocks/>
          </xdr:cNvSpPr>
        </xdr:nvSpPr>
        <xdr:spPr>
          <a:xfrm flipV="1">
            <a:off x="580" y="129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2"/>
          <xdr:cNvSpPr>
            <a:spLocks/>
          </xdr:cNvSpPr>
        </xdr:nvSpPr>
        <xdr:spPr>
          <a:xfrm flipV="1">
            <a:off x="571" y="129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133"/>
          <xdr:cNvSpPr>
            <a:spLocks/>
          </xdr:cNvSpPr>
        </xdr:nvSpPr>
        <xdr:spPr>
          <a:xfrm flipV="1">
            <a:off x="567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134"/>
          <xdr:cNvSpPr>
            <a:spLocks/>
          </xdr:cNvSpPr>
        </xdr:nvSpPr>
        <xdr:spPr>
          <a:xfrm flipV="1">
            <a:off x="563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5"/>
          <xdr:cNvSpPr>
            <a:spLocks/>
          </xdr:cNvSpPr>
        </xdr:nvSpPr>
        <xdr:spPr>
          <a:xfrm flipV="1">
            <a:off x="558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6"/>
          <xdr:cNvSpPr>
            <a:spLocks/>
          </xdr:cNvSpPr>
        </xdr:nvSpPr>
        <xdr:spPr>
          <a:xfrm flipH="1" flipV="1">
            <a:off x="550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7"/>
          <xdr:cNvSpPr>
            <a:spLocks/>
          </xdr:cNvSpPr>
        </xdr:nvSpPr>
        <xdr:spPr>
          <a:xfrm flipH="1" flipV="1">
            <a:off x="545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8"/>
          <xdr:cNvSpPr>
            <a:spLocks/>
          </xdr:cNvSpPr>
        </xdr:nvSpPr>
        <xdr:spPr>
          <a:xfrm flipH="1" flipV="1">
            <a:off x="541" y="128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9"/>
          <xdr:cNvSpPr>
            <a:spLocks/>
          </xdr:cNvSpPr>
        </xdr:nvSpPr>
        <xdr:spPr>
          <a:xfrm flipH="1" flipV="1">
            <a:off x="536" y="129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40"/>
          <xdr:cNvSpPr>
            <a:spLocks/>
          </xdr:cNvSpPr>
        </xdr:nvSpPr>
        <xdr:spPr>
          <a:xfrm flipH="1" flipV="1">
            <a:off x="528" y="129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141"/>
          <xdr:cNvSpPr>
            <a:spLocks/>
          </xdr:cNvSpPr>
        </xdr:nvSpPr>
        <xdr:spPr>
          <a:xfrm flipH="1" flipV="1">
            <a:off x="523" y="130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142"/>
          <xdr:cNvSpPr>
            <a:spLocks/>
          </xdr:cNvSpPr>
        </xdr:nvSpPr>
        <xdr:spPr>
          <a:xfrm flipH="1" flipV="1">
            <a:off x="519" y="130"/>
            <a:ext cx="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AutoShape 143"/>
          <xdr:cNvSpPr>
            <a:spLocks/>
          </xdr:cNvSpPr>
        </xdr:nvSpPr>
        <xdr:spPr>
          <a:xfrm flipH="1" flipV="1">
            <a:off x="514" y="131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44"/>
          <xdr:cNvSpPr>
            <a:spLocks/>
          </xdr:cNvSpPr>
        </xdr:nvSpPr>
        <xdr:spPr>
          <a:xfrm flipH="1" flipV="1">
            <a:off x="506" y="133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45"/>
          <xdr:cNvSpPr>
            <a:spLocks/>
          </xdr:cNvSpPr>
        </xdr:nvSpPr>
        <xdr:spPr>
          <a:xfrm flipH="1" flipV="1">
            <a:off x="501" y="134"/>
            <a:ext cx="1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46"/>
          <xdr:cNvSpPr>
            <a:spLocks/>
          </xdr:cNvSpPr>
        </xdr:nvSpPr>
        <xdr:spPr>
          <a:xfrm flipH="1" flipV="1">
            <a:off x="497" y="134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7"/>
          <xdr:cNvSpPr>
            <a:spLocks/>
          </xdr:cNvSpPr>
        </xdr:nvSpPr>
        <xdr:spPr>
          <a:xfrm flipH="1" flipV="1">
            <a:off x="493" y="135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8"/>
          <xdr:cNvSpPr>
            <a:spLocks/>
          </xdr:cNvSpPr>
        </xdr:nvSpPr>
        <xdr:spPr>
          <a:xfrm flipH="1" flipV="1">
            <a:off x="484" y="138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9"/>
          <xdr:cNvSpPr>
            <a:spLocks/>
          </xdr:cNvSpPr>
        </xdr:nvSpPr>
        <xdr:spPr>
          <a:xfrm flipH="1" flipV="1">
            <a:off x="480" y="139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150"/>
          <xdr:cNvSpPr>
            <a:spLocks/>
          </xdr:cNvSpPr>
        </xdr:nvSpPr>
        <xdr:spPr>
          <a:xfrm flipH="1" flipV="1">
            <a:off x="476" y="140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151"/>
          <xdr:cNvSpPr>
            <a:spLocks/>
          </xdr:cNvSpPr>
        </xdr:nvSpPr>
        <xdr:spPr>
          <a:xfrm flipH="1" flipV="1">
            <a:off x="472" y="142"/>
            <a:ext cx="1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52"/>
          <xdr:cNvSpPr>
            <a:spLocks/>
          </xdr:cNvSpPr>
        </xdr:nvSpPr>
        <xdr:spPr>
          <a:xfrm flipH="1" flipV="1">
            <a:off x="463" y="145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53"/>
          <xdr:cNvSpPr>
            <a:spLocks/>
          </xdr:cNvSpPr>
        </xdr:nvSpPr>
        <xdr:spPr>
          <a:xfrm flipH="1" flipV="1">
            <a:off x="459" y="146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54"/>
          <xdr:cNvSpPr>
            <a:spLocks/>
          </xdr:cNvSpPr>
        </xdr:nvSpPr>
        <xdr:spPr>
          <a:xfrm flipH="1" flipV="1">
            <a:off x="455" y="148"/>
            <a:ext cx="2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5"/>
          <xdr:cNvSpPr>
            <a:spLocks/>
          </xdr:cNvSpPr>
        </xdr:nvSpPr>
        <xdr:spPr>
          <a:xfrm flipH="1" flipV="1">
            <a:off x="451" y="150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156"/>
          <xdr:cNvSpPr>
            <a:spLocks/>
          </xdr:cNvSpPr>
        </xdr:nvSpPr>
        <xdr:spPr>
          <a:xfrm flipH="1" flipV="1">
            <a:off x="443" y="154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157"/>
          <xdr:cNvSpPr>
            <a:spLocks/>
          </xdr:cNvSpPr>
        </xdr:nvSpPr>
        <xdr:spPr>
          <a:xfrm flipH="1" flipV="1">
            <a:off x="439" y="156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58"/>
          <xdr:cNvSpPr>
            <a:spLocks/>
          </xdr:cNvSpPr>
        </xdr:nvSpPr>
        <xdr:spPr>
          <a:xfrm flipH="1" flipV="1">
            <a:off x="435" y="158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59"/>
          <xdr:cNvSpPr>
            <a:spLocks/>
          </xdr:cNvSpPr>
        </xdr:nvSpPr>
        <xdr:spPr>
          <a:xfrm flipH="1" flipV="1">
            <a:off x="431" y="160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160"/>
          <xdr:cNvSpPr>
            <a:spLocks/>
          </xdr:cNvSpPr>
        </xdr:nvSpPr>
        <xdr:spPr>
          <a:xfrm flipH="1" flipV="1">
            <a:off x="424" y="164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61"/>
          <xdr:cNvSpPr>
            <a:spLocks/>
          </xdr:cNvSpPr>
        </xdr:nvSpPr>
        <xdr:spPr>
          <a:xfrm flipH="1" flipV="1">
            <a:off x="420" y="166"/>
            <a:ext cx="3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2"/>
          <xdr:cNvSpPr>
            <a:spLocks/>
          </xdr:cNvSpPr>
        </xdr:nvSpPr>
        <xdr:spPr>
          <a:xfrm flipH="1" flipV="1">
            <a:off x="416" y="169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63"/>
          <xdr:cNvSpPr>
            <a:spLocks/>
          </xdr:cNvSpPr>
        </xdr:nvSpPr>
        <xdr:spPr>
          <a:xfrm flipH="1" flipV="1">
            <a:off x="413" y="171"/>
            <a:ext cx="2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4"/>
          <xdr:cNvSpPr>
            <a:spLocks/>
          </xdr:cNvSpPr>
        </xdr:nvSpPr>
        <xdr:spPr>
          <a:xfrm flipH="1" flipV="1">
            <a:off x="405" y="176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165"/>
          <xdr:cNvSpPr>
            <a:spLocks/>
          </xdr:cNvSpPr>
        </xdr:nvSpPr>
        <xdr:spPr>
          <a:xfrm flipH="1" flipV="1">
            <a:off x="402" y="179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166"/>
          <xdr:cNvSpPr>
            <a:spLocks/>
          </xdr:cNvSpPr>
        </xdr:nvSpPr>
        <xdr:spPr>
          <a:xfrm flipH="1" flipV="1">
            <a:off x="398" y="182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7"/>
          <xdr:cNvSpPr>
            <a:spLocks/>
          </xdr:cNvSpPr>
        </xdr:nvSpPr>
        <xdr:spPr>
          <a:xfrm flipH="1" flipV="1">
            <a:off x="395" y="184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168"/>
          <xdr:cNvSpPr>
            <a:spLocks/>
          </xdr:cNvSpPr>
        </xdr:nvSpPr>
        <xdr:spPr>
          <a:xfrm flipH="1" flipV="1">
            <a:off x="388" y="190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169"/>
          <xdr:cNvSpPr>
            <a:spLocks/>
          </xdr:cNvSpPr>
        </xdr:nvSpPr>
        <xdr:spPr>
          <a:xfrm flipH="1" flipV="1">
            <a:off x="385" y="193"/>
            <a:ext cx="3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70"/>
          <xdr:cNvSpPr>
            <a:spLocks/>
          </xdr:cNvSpPr>
        </xdr:nvSpPr>
        <xdr:spPr>
          <a:xfrm flipH="1" flipV="1">
            <a:off x="381" y="196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71"/>
          <xdr:cNvSpPr>
            <a:spLocks/>
          </xdr:cNvSpPr>
        </xdr:nvSpPr>
        <xdr:spPr>
          <a:xfrm flipH="1" flipV="1">
            <a:off x="378" y="199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2"/>
          <xdr:cNvSpPr>
            <a:spLocks/>
          </xdr:cNvSpPr>
        </xdr:nvSpPr>
        <xdr:spPr>
          <a:xfrm flipH="1" flipV="1">
            <a:off x="372" y="205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3"/>
          <xdr:cNvSpPr>
            <a:spLocks/>
          </xdr:cNvSpPr>
        </xdr:nvSpPr>
        <xdr:spPr>
          <a:xfrm flipH="1" flipV="1">
            <a:off x="369" y="208"/>
            <a:ext cx="4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174"/>
          <xdr:cNvSpPr>
            <a:spLocks/>
          </xdr:cNvSpPr>
        </xdr:nvSpPr>
        <xdr:spPr>
          <a:xfrm flipH="1" flipV="1">
            <a:off x="366" y="21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AutoShape 175"/>
          <xdr:cNvSpPr>
            <a:spLocks/>
          </xdr:cNvSpPr>
        </xdr:nvSpPr>
        <xdr:spPr>
          <a:xfrm flipH="1" flipV="1">
            <a:off x="363" y="215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6"/>
          <xdr:cNvSpPr>
            <a:spLocks/>
          </xdr:cNvSpPr>
        </xdr:nvSpPr>
        <xdr:spPr>
          <a:xfrm flipH="1" flipV="1">
            <a:off x="357" y="22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177"/>
          <xdr:cNvSpPr>
            <a:spLocks/>
          </xdr:cNvSpPr>
        </xdr:nvSpPr>
        <xdr:spPr>
          <a:xfrm flipH="1" flipV="1">
            <a:off x="355" y="225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AutoShape 178"/>
          <xdr:cNvSpPr>
            <a:spLocks/>
          </xdr:cNvSpPr>
        </xdr:nvSpPr>
        <xdr:spPr>
          <a:xfrm flipH="1" flipV="1">
            <a:off x="352" y="229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79"/>
          <xdr:cNvSpPr>
            <a:spLocks/>
          </xdr:cNvSpPr>
        </xdr:nvSpPr>
        <xdr:spPr>
          <a:xfrm flipH="1" flipV="1">
            <a:off x="349" y="23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80"/>
          <xdr:cNvSpPr>
            <a:spLocks/>
          </xdr:cNvSpPr>
        </xdr:nvSpPr>
        <xdr:spPr>
          <a:xfrm flipH="1" flipV="1">
            <a:off x="344" y="240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81"/>
          <xdr:cNvSpPr>
            <a:spLocks/>
          </xdr:cNvSpPr>
        </xdr:nvSpPr>
        <xdr:spPr>
          <a:xfrm flipH="1" flipV="1">
            <a:off x="342" y="243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2"/>
          <xdr:cNvSpPr>
            <a:spLocks/>
          </xdr:cNvSpPr>
        </xdr:nvSpPr>
        <xdr:spPr>
          <a:xfrm flipH="1" flipV="1">
            <a:off x="339" y="247"/>
            <a:ext cx="5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AutoShape 183"/>
          <xdr:cNvSpPr>
            <a:spLocks/>
          </xdr:cNvSpPr>
        </xdr:nvSpPr>
        <xdr:spPr>
          <a:xfrm flipH="1" flipV="1">
            <a:off x="337" y="251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AutoShape 184"/>
          <xdr:cNvSpPr>
            <a:spLocks/>
          </xdr:cNvSpPr>
        </xdr:nvSpPr>
        <xdr:spPr>
          <a:xfrm flipH="1" flipV="1">
            <a:off x="333" y="258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85"/>
          <xdr:cNvSpPr>
            <a:spLocks/>
          </xdr:cNvSpPr>
        </xdr:nvSpPr>
        <xdr:spPr>
          <a:xfrm flipH="1" flipV="1">
            <a:off x="331" y="262"/>
            <a:ext cx="4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186"/>
          <xdr:cNvSpPr>
            <a:spLocks/>
          </xdr:cNvSpPr>
        </xdr:nvSpPr>
        <xdr:spPr>
          <a:xfrm flipH="1" flipV="1">
            <a:off x="329" y="266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187"/>
          <xdr:cNvSpPr>
            <a:spLocks/>
          </xdr:cNvSpPr>
        </xdr:nvSpPr>
        <xdr:spPr>
          <a:xfrm flipH="1" flipV="1">
            <a:off x="327" y="270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88"/>
          <xdr:cNvSpPr>
            <a:spLocks/>
          </xdr:cNvSpPr>
        </xdr:nvSpPr>
        <xdr:spPr>
          <a:xfrm flipH="1" flipV="1">
            <a:off x="323" y="278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89"/>
          <xdr:cNvSpPr>
            <a:spLocks/>
          </xdr:cNvSpPr>
        </xdr:nvSpPr>
        <xdr:spPr>
          <a:xfrm flipH="1" flipV="1">
            <a:off x="321" y="282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90"/>
          <xdr:cNvSpPr>
            <a:spLocks/>
          </xdr:cNvSpPr>
        </xdr:nvSpPr>
        <xdr:spPr>
          <a:xfrm flipH="1" flipV="1">
            <a:off x="319" y="286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91"/>
          <xdr:cNvSpPr>
            <a:spLocks/>
          </xdr:cNvSpPr>
        </xdr:nvSpPr>
        <xdr:spPr>
          <a:xfrm flipH="1" flipV="1">
            <a:off x="318" y="290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192"/>
          <xdr:cNvSpPr>
            <a:spLocks/>
          </xdr:cNvSpPr>
        </xdr:nvSpPr>
        <xdr:spPr>
          <a:xfrm flipH="1" flipV="1">
            <a:off x="315" y="299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193"/>
          <xdr:cNvSpPr>
            <a:spLocks/>
          </xdr:cNvSpPr>
        </xdr:nvSpPr>
        <xdr:spPr>
          <a:xfrm flipH="1" flipV="1">
            <a:off x="313" y="30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194"/>
          <xdr:cNvSpPr>
            <a:spLocks/>
          </xdr:cNvSpPr>
        </xdr:nvSpPr>
        <xdr:spPr>
          <a:xfrm flipH="1" flipV="1">
            <a:off x="312" y="307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195"/>
          <xdr:cNvSpPr>
            <a:spLocks/>
          </xdr:cNvSpPr>
        </xdr:nvSpPr>
        <xdr:spPr>
          <a:xfrm flipH="1" flipV="1">
            <a:off x="311" y="311"/>
            <a:ext cx="5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AutoShape 196"/>
          <xdr:cNvSpPr>
            <a:spLocks/>
          </xdr:cNvSpPr>
        </xdr:nvSpPr>
        <xdr:spPr>
          <a:xfrm flipH="1" flipV="1">
            <a:off x="308" y="320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197"/>
          <xdr:cNvSpPr>
            <a:spLocks/>
          </xdr:cNvSpPr>
        </xdr:nvSpPr>
        <xdr:spPr>
          <a:xfrm flipH="1" flipV="1">
            <a:off x="307" y="324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198"/>
          <xdr:cNvSpPr>
            <a:spLocks/>
          </xdr:cNvSpPr>
        </xdr:nvSpPr>
        <xdr:spPr>
          <a:xfrm flipH="1" flipV="1">
            <a:off x="307" y="328"/>
            <a:ext cx="4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199"/>
          <xdr:cNvSpPr>
            <a:spLocks/>
          </xdr:cNvSpPr>
        </xdr:nvSpPr>
        <xdr:spPr>
          <a:xfrm flipH="1" flipV="1">
            <a:off x="306" y="33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200"/>
          <xdr:cNvSpPr>
            <a:spLocks/>
          </xdr:cNvSpPr>
        </xdr:nvSpPr>
        <xdr:spPr>
          <a:xfrm flipH="1" flipV="1">
            <a:off x="304" y="341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201"/>
          <xdr:cNvSpPr>
            <a:spLocks/>
          </xdr:cNvSpPr>
        </xdr:nvSpPr>
        <xdr:spPr>
          <a:xfrm flipH="1" flipV="1">
            <a:off x="303" y="346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AutoShape 202"/>
          <xdr:cNvSpPr>
            <a:spLocks/>
          </xdr:cNvSpPr>
        </xdr:nvSpPr>
        <xdr:spPr>
          <a:xfrm flipH="1" flipV="1">
            <a:off x="303" y="350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203"/>
          <xdr:cNvSpPr>
            <a:spLocks/>
          </xdr:cNvSpPr>
        </xdr:nvSpPr>
        <xdr:spPr>
          <a:xfrm flipH="1" flipV="1">
            <a:off x="302" y="354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AutoShape 204"/>
          <xdr:cNvSpPr>
            <a:spLocks/>
          </xdr:cNvSpPr>
        </xdr:nvSpPr>
        <xdr:spPr>
          <a:xfrm flipH="1" flipV="1">
            <a:off x="302" y="363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AutoShape 205"/>
          <xdr:cNvSpPr>
            <a:spLocks/>
          </xdr:cNvSpPr>
        </xdr:nvSpPr>
        <xdr:spPr>
          <a:xfrm flipH="1" flipV="1">
            <a:off x="301" y="368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206"/>
          <xdr:cNvSpPr>
            <a:spLocks/>
          </xdr:cNvSpPr>
        </xdr:nvSpPr>
        <xdr:spPr>
          <a:xfrm flipH="1" flipV="1">
            <a:off x="301" y="372"/>
            <a:ext cx="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207"/>
          <xdr:cNvSpPr>
            <a:spLocks/>
          </xdr:cNvSpPr>
        </xdr:nvSpPr>
        <xdr:spPr>
          <a:xfrm flipH="1" flipV="1">
            <a:off x="301" y="376"/>
            <a:ext cx="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rc 208"/>
          <xdr:cNvSpPr>
            <a:spLocks/>
          </xdr:cNvSpPr>
        </xdr:nvSpPr>
        <xdr:spPr>
          <a:xfrm>
            <a:off x="387" y="197"/>
            <a:ext cx="331" cy="139"/>
          </a:xfrm>
          <a:prstGeom prst="arc">
            <a:avLst>
              <a:gd name="adj1" fmla="val -54032175"/>
              <a:gd name="adj2" fmla="val -926722"/>
              <a:gd name="adj3" fmla="val 49935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AutoShape 209"/>
          <xdr:cNvSpPr>
            <a:spLocks/>
          </xdr:cNvSpPr>
        </xdr:nvSpPr>
        <xdr:spPr>
          <a:xfrm flipV="1">
            <a:off x="386" y="328"/>
            <a:ext cx="333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Arc 210"/>
          <xdr:cNvSpPr>
            <a:spLocks/>
          </xdr:cNvSpPr>
        </xdr:nvSpPr>
        <xdr:spPr>
          <a:xfrm>
            <a:off x="297" y="123"/>
            <a:ext cx="515" cy="259"/>
          </a:xfrm>
          <a:prstGeom prst="arc">
            <a:avLst>
              <a:gd name="adj1" fmla="val 54071120"/>
              <a:gd name="adj2" fmla="val 442412"/>
              <a:gd name="adj3" fmla="val 50000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619125</xdr:colOff>
      <xdr:row>2</xdr:row>
      <xdr:rowOff>85725</xdr:rowOff>
    </xdr:from>
    <xdr:to>
      <xdr:col>8</xdr:col>
      <xdr:colOff>0</xdr:colOff>
      <xdr:row>4</xdr:row>
      <xdr:rowOff>114300</xdr:rowOff>
    </xdr:to>
    <xdr:grpSp>
      <xdr:nvGrpSpPr>
        <xdr:cNvPr id="209" name="Group 211"/>
        <xdr:cNvGrpSpPr>
          <a:grpSpLocks/>
        </xdr:cNvGrpSpPr>
      </xdr:nvGrpSpPr>
      <xdr:grpSpPr>
        <a:xfrm>
          <a:off x="2581275" y="447675"/>
          <a:ext cx="1228725" cy="552450"/>
          <a:chOff x="734" y="153"/>
          <a:chExt cx="171" cy="77"/>
        </a:xfrm>
        <a:solidFill>
          <a:srgbClr val="FFFFFF"/>
        </a:solidFill>
      </xdr:grpSpPr>
      <xdr:sp macro="[0]!apport">
        <xdr:nvSpPr>
          <xdr:cNvPr id="210" name="TextBox 212"/>
          <xdr:cNvSpPr txBox="1">
            <a:spLocks noChangeArrowheads="1"/>
          </xdr:cNvSpPr>
        </xdr:nvSpPr>
        <xdr:spPr>
          <a:xfrm>
            <a:off x="734" y="153"/>
            <a:ext cx="171" cy="7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11" name="Picture 213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63" y="166"/>
            <a:ext cx="116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190500</xdr:colOff>
      <xdr:row>2</xdr:row>
      <xdr:rowOff>95250</xdr:rowOff>
    </xdr:from>
    <xdr:to>
      <xdr:col>4</xdr:col>
      <xdr:colOff>238125</xdr:colOff>
      <xdr:row>4</xdr:row>
      <xdr:rowOff>104775</xdr:rowOff>
    </xdr:to>
    <xdr:grpSp>
      <xdr:nvGrpSpPr>
        <xdr:cNvPr id="212" name="Group 214"/>
        <xdr:cNvGrpSpPr>
          <a:grpSpLocks/>
        </xdr:cNvGrpSpPr>
      </xdr:nvGrpSpPr>
      <xdr:grpSpPr>
        <a:xfrm>
          <a:off x="419100" y="457200"/>
          <a:ext cx="1019175" cy="533400"/>
          <a:chOff x="823" y="397"/>
          <a:chExt cx="107" cy="56"/>
        </a:xfrm>
        <a:solidFill>
          <a:srgbClr val="FFFFFF"/>
        </a:solidFill>
      </xdr:grpSpPr>
      <xdr:sp macro="[0]!Macro2">
        <xdr:nvSpPr>
          <xdr:cNvPr id="213" name="TextBox 215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rc 216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5715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1228725</xdr:colOff>
      <xdr:row>2</xdr:row>
      <xdr:rowOff>133350</xdr:rowOff>
    </xdr:from>
    <xdr:to>
      <xdr:col>11</xdr:col>
      <xdr:colOff>171450</xdr:colOff>
      <xdr:row>4</xdr:row>
      <xdr:rowOff>95250</xdr:rowOff>
    </xdr:to>
    <xdr:grpSp>
      <xdr:nvGrpSpPr>
        <xdr:cNvPr id="215" name="Group 217"/>
        <xdr:cNvGrpSpPr>
          <a:grpSpLocks/>
        </xdr:cNvGrpSpPr>
      </xdr:nvGrpSpPr>
      <xdr:grpSpPr>
        <a:xfrm flipH="1">
          <a:off x="5038725" y="495300"/>
          <a:ext cx="1000125" cy="485775"/>
          <a:chOff x="823" y="397"/>
          <a:chExt cx="107" cy="56"/>
        </a:xfrm>
        <a:solidFill>
          <a:srgbClr val="FFFFFF"/>
        </a:solidFill>
      </xdr:grpSpPr>
      <xdr:sp macro="[0]!Macro2">
        <xdr:nvSpPr>
          <xdr:cNvPr id="216" name="TextBox 218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rc 219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5715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8</xdr:row>
      <xdr:rowOff>142875</xdr:rowOff>
    </xdr:from>
    <xdr:to>
      <xdr:col>13</xdr:col>
      <xdr:colOff>685800</xdr:colOff>
      <xdr:row>10</xdr:row>
      <xdr:rowOff>38100</xdr:rowOff>
    </xdr:to>
    <xdr:grpSp>
      <xdr:nvGrpSpPr>
        <xdr:cNvPr id="218" name="Group 220"/>
        <xdr:cNvGrpSpPr>
          <a:grpSpLocks/>
        </xdr:cNvGrpSpPr>
      </xdr:nvGrpSpPr>
      <xdr:grpSpPr>
        <a:xfrm>
          <a:off x="7038975" y="6715125"/>
          <a:ext cx="419100" cy="219075"/>
          <a:chOff x="734" y="153"/>
          <a:chExt cx="171" cy="77"/>
        </a:xfrm>
        <a:solidFill>
          <a:srgbClr val="FFFFFF"/>
        </a:solidFill>
      </xdr:grpSpPr>
      <xdr:sp macro="[0]!apport">
        <xdr:nvSpPr>
          <xdr:cNvPr id="219" name="TextBox 221"/>
          <xdr:cNvSpPr txBox="1">
            <a:spLocks noChangeArrowheads="1"/>
          </xdr:cNvSpPr>
        </xdr:nvSpPr>
        <xdr:spPr>
          <a:xfrm>
            <a:off x="734" y="153"/>
            <a:ext cx="171" cy="7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20" name="Picture 22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63" y="166"/>
            <a:ext cx="116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676275</xdr:colOff>
      <xdr:row>11</xdr:row>
      <xdr:rowOff>142875</xdr:rowOff>
    </xdr:from>
    <xdr:to>
      <xdr:col>14</xdr:col>
      <xdr:colOff>1009650</xdr:colOff>
      <xdr:row>13</xdr:row>
      <xdr:rowOff>9525</xdr:rowOff>
    </xdr:to>
    <xdr:grpSp>
      <xdr:nvGrpSpPr>
        <xdr:cNvPr id="221" name="Group 223"/>
        <xdr:cNvGrpSpPr>
          <a:grpSpLocks/>
        </xdr:cNvGrpSpPr>
      </xdr:nvGrpSpPr>
      <xdr:grpSpPr>
        <a:xfrm>
          <a:off x="8210550" y="7200900"/>
          <a:ext cx="333375" cy="190500"/>
          <a:chOff x="823" y="397"/>
          <a:chExt cx="107" cy="56"/>
        </a:xfrm>
        <a:solidFill>
          <a:srgbClr val="FFFFFF"/>
        </a:solidFill>
      </xdr:grpSpPr>
      <xdr:sp macro="[0]!Macro2">
        <xdr:nvSpPr>
          <xdr:cNvPr id="222" name="TextBox 224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Arc 225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1270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1028700</xdr:colOff>
      <xdr:row>11</xdr:row>
      <xdr:rowOff>142875</xdr:rowOff>
    </xdr:from>
    <xdr:to>
      <xdr:col>14</xdr:col>
      <xdr:colOff>1371600</xdr:colOff>
      <xdr:row>13</xdr:row>
      <xdr:rowOff>19050</xdr:rowOff>
    </xdr:to>
    <xdr:grpSp>
      <xdr:nvGrpSpPr>
        <xdr:cNvPr id="224" name="Group 226"/>
        <xdr:cNvGrpSpPr>
          <a:grpSpLocks/>
        </xdr:cNvGrpSpPr>
      </xdr:nvGrpSpPr>
      <xdr:grpSpPr>
        <a:xfrm flipH="1">
          <a:off x="8562975" y="7200900"/>
          <a:ext cx="342900" cy="200025"/>
          <a:chOff x="823" y="397"/>
          <a:chExt cx="107" cy="56"/>
        </a:xfrm>
        <a:solidFill>
          <a:srgbClr val="FFFFFF"/>
        </a:solidFill>
      </xdr:grpSpPr>
      <xdr:sp macro="[0]!Macro2">
        <xdr:nvSpPr>
          <xdr:cNvPr id="225" name="TextBox 227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Arc 228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1270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9525</xdr:rowOff>
    </xdr:from>
    <xdr:to>
      <xdr:col>10</xdr:col>
      <xdr:colOff>209550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571500" y="1057275"/>
        <a:ext cx="52482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361950</xdr:colOff>
      <xdr:row>23</xdr:row>
      <xdr:rowOff>76200</xdr:rowOff>
    </xdr:from>
    <xdr:to>
      <xdr:col>14</xdr:col>
      <xdr:colOff>1266825</xdr:colOff>
      <xdr:row>24</xdr:row>
      <xdr:rowOff>133350</xdr:rowOff>
    </xdr:to>
    <xdr:sp macro="[0]!FERMER">
      <xdr:nvSpPr>
        <xdr:cNvPr id="2" name="TextBox 2"/>
        <xdr:cNvSpPr txBox="1">
          <a:spLocks noChangeArrowheads="1"/>
        </xdr:cNvSpPr>
      </xdr:nvSpPr>
      <xdr:spPr>
        <a:xfrm>
          <a:off x="7134225" y="4324350"/>
          <a:ext cx="1666875" cy="2571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/>
  </xdr:twoCellAnchor>
  <xdr:twoCellAnchor>
    <xdr:from>
      <xdr:col>26</xdr:col>
      <xdr:colOff>180975</xdr:colOff>
      <xdr:row>3</xdr:row>
      <xdr:rowOff>0</xdr:rowOff>
    </xdr:from>
    <xdr:to>
      <xdr:col>26</xdr:col>
      <xdr:colOff>428625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>
          <a:off x="17506950" y="609600"/>
          <a:ext cx="247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38100</xdr:colOff>
      <xdr:row>23</xdr:row>
      <xdr:rowOff>66675</xdr:rowOff>
    </xdr:from>
    <xdr:ext cx="895350" cy="266700"/>
    <xdr:sp macro="[0]!PLEIN">
      <xdr:nvSpPr>
        <xdr:cNvPr id="4" name="TextBox 5"/>
        <xdr:cNvSpPr txBox="1">
          <a:spLocks noChangeArrowheads="1"/>
        </xdr:cNvSpPr>
      </xdr:nvSpPr>
      <xdr:spPr>
        <a:xfrm>
          <a:off x="6210300" y="4314825"/>
          <a:ext cx="895350" cy="2667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 fPrintsWithSheet="0"/>
  </xdr:oneCellAnchor>
  <xdr:twoCellAnchor>
    <xdr:from>
      <xdr:col>12</xdr:col>
      <xdr:colOff>171450</xdr:colOff>
      <xdr:row>3</xdr:row>
      <xdr:rowOff>142875</xdr:rowOff>
    </xdr:from>
    <xdr:to>
      <xdr:col>14</xdr:col>
      <xdr:colOff>581025</xdr:colOff>
      <xdr:row>4</xdr:row>
      <xdr:rowOff>104775</xdr:rowOff>
    </xdr:to>
    <xdr:sp macro="[0]!nouv3">
      <xdr:nvSpPr>
        <xdr:cNvPr id="5" name="TextBox 7"/>
        <xdr:cNvSpPr txBox="1">
          <a:spLocks noChangeArrowheads="1"/>
        </xdr:cNvSpPr>
      </xdr:nvSpPr>
      <xdr:spPr>
        <a:xfrm>
          <a:off x="6343650" y="752475"/>
          <a:ext cx="1771650" cy="238125"/>
        </a:xfrm>
        <a:prstGeom prst="rect">
          <a:avLst/>
        </a:prstGeom>
        <a:solidFill>
          <a:srgbClr val="0000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Nouvelle mesure</a:t>
          </a:r>
        </a:p>
      </xdr:txBody>
    </xdr:sp>
    <xdr:clientData/>
  </xdr:twoCellAnchor>
  <xdr:twoCellAnchor>
    <xdr:from>
      <xdr:col>5</xdr:col>
      <xdr:colOff>619125</xdr:colOff>
      <xdr:row>2</xdr:row>
      <xdr:rowOff>85725</xdr:rowOff>
    </xdr:from>
    <xdr:to>
      <xdr:col>8</xdr:col>
      <xdr:colOff>0</xdr:colOff>
      <xdr:row>4</xdr:row>
      <xdr:rowOff>114300</xdr:rowOff>
    </xdr:to>
    <xdr:grpSp>
      <xdr:nvGrpSpPr>
        <xdr:cNvPr id="6" name="Group 211"/>
        <xdr:cNvGrpSpPr>
          <a:grpSpLocks/>
        </xdr:cNvGrpSpPr>
      </xdr:nvGrpSpPr>
      <xdr:grpSpPr>
        <a:xfrm>
          <a:off x="2581275" y="447675"/>
          <a:ext cx="1228725" cy="552450"/>
          <a:chOff x="734" y="153"/>
          <a:chExt cx="171" cy="77"/>
        </a:xfrm>
        <a:solidFill>
          <a:srgbClr val="FFFFFF"/>
        </a:solidFill>
      </xdr:grpSpPr>
      <xdr:sp macro="[0]!apport">
        <xdr:nvSpPr>
          <xdr:cNvPr id="7" name="TextBox 212"/>
          <xdr:cNvSpPr txBox="1">
            <a:spLocks noChangeArrowheads="1"/>
          </xdr:cNvSpPr>
        </xdr:nvSpPr>
        <xdr:spPr>
          <a:xfrm>
            <a:off x="734" y="153"/>
            <a:ext cx="171" cy="7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" name="Picture 213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63" y="166"/>
            <a:ext cx="116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190500</xdr:colOff>
      <xdr:row>2</xdr:row>
      <xdr:rowOff>95250</xdr:rowOff>
    </xdr:from>
    <xdr:to>
      <xdr:col>4</xdr:col>
      <xdr:colOff>238125</xdr:colOff>
      <xdr:row>4</xdr:row>
      <xdr:rowOff>104775</xdr:rowOff>
    </xdr:to>
    <xdr:grpSp>
      <xdr:nvGrpSpPr>
        <xdr:cNvPr id="9" name="Group 214"/>
        <xdr:cNvGrpSpPr>
          <a:grpSpLocks/>
        </xdr:cNvGrpSpPr>
      </xdr:nvGrpSpPr>
      <xdr:grpSpPr>
        <a:xfrm>
          <a:off x="419100" y="457200"/>
          <a:ext cx="1019175" cy="533400"/>
          <a:chOff x="823" y="397"/>
          <a:chExt cx="107" cy="56"/>
        </a:xfrm>
        <a:solidFill>
          <a:srgbClr val="FFFFFF"/>
        </a:solidFill>
      </xdr:grpSpPr>
      <xdr:sp macro="[0]!Macro2">
        <xdr:nvSpPr>
          <xdr:cNvPr id="10" name="TextBox 215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rc 216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5715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1228725</xdr:colOff>
      <xdr:row>2</xdr:row>
      <xdr:rowOff>133350</xdr:rowOff>
    </xdr:from>
    <xdr:to>
      <xdr:col>11</xdr:col>
      <xdr:colOff>171450</xdr:colOff>
      <xdr:row>4</xdr:row>
      <xdr:rowOff>95250</xdr:rowOff>
    </xdr:to>
    <xdr:grpSp>
      <xdr:nvGrpSpPr>
        <xdr:cNvPr id="12" name="Group 217"/>
        <xdr:cNvGrpSpPr>
          <a:grpSpLocks/>
        </xdr:cNvGrpSpPr>
      </xdr:nvGrpSpPr>
      <xdr:grpSpPr>
        <a:xfrm flipH="1">
          <a:off x="5038725" y="495300"/>
          <a:ext cx="1000125" cy="485775"/>
          <a:chOff x="823" y="397"/>
          <a:chExt cx="107" cy="56"/>
        </a:xfrm>
        <a:solidFill>
          <a:srgbClr val="FFFFFF"/>
        </a:solidFill>
      </xdr:grpSpPr>
      <xdr:sp macro="[0]!Macro2">
        <xdr:nvSpPr>
          <xdr:cNvPr id="13" name="TextBox 218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rc 219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5715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8</xdr:row>
      <xdr:rowOff>142875</xdr:rowOff>
    </xdr:from>
    <xdr:to>
      <xdr:col>13</xdr:col>
      <xdr:colOff>685800</xdr:colOff>
      <xdr:row>10</xdr:row>
      <xdr:rowOff>38100</xdr:rowOff>
    </xdr:to>
    <xdr:grpSp>
      <xdr:nvGrpSpPr>
        <xdr:cNvPr id="15" name="Group 220"/>
        <xdr:cNvGrpSpPr>
          <a:grpSpLocks/>
        </xdr:cNvGrpSpPr>
      </xdr:nvGrpSpPr>
      <xdr:grpSpPr>
        <a:xfrm>
          <a:off x="7038975" y="1676400"/>
          <a:ext cx="419100" cy="219075"/>
          <a:chOff x="734" y="153"/>
          <a:chExt cx="171" cy="77"/>
        </a:xfrm>
        <a:solidFill>
          <a:srgbClr val="FFFFFF"/>
        </a:solidFill>
      </xdr:grpSpPr>
      <xdr:sp macro="[0]!apport">
        <xdr:nvSpPr>
          <xdr:cNvPr id="16" name="TextBox 221"/>
          <xdr:cNvSpPr txBox="1">
            <a:spLocks noChangeArrowheads="1"/>
          </xdr:cNvSpPr>
        </xdr:nvSpPr>
        <xdr:spPr>
          <a:xfrm>
            <a:off x="734" y="153"/>
            <a:ext cx="171" cy="7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Picture 22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63" y="166"/>
            <a:ext cx="116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676275</xdr:colOff>
      <xdr:row>11</xdr:row>
      <xdr:rowOff>142875</xdr:rowOff>
    </xdr:from>
    <xdr:to>
      <xdr:col>14</xdr:col>
      <xdr:colOff>1009650</xdr:colOff>
      <xdr:row>13</xdr:row>
      <xdr:rowOff>9525</xdr:rowOff>
    </xdr:to>
    <xdr:grpSp>
      <xdr:nvGrpSpPr>
        <xdr:cNvPr id="18" name="Group 223"/>
        <xdr:cNvGrpSpPr>
          <a:grpSpLocks/>
        </xdr:cNvGrpSpPr>
      </xdr:nvGrpSpPr>
      <xdr:grpSpPr>
        <a:xfrm>
          <a:off x="8210550" y="2162175"/>
          <a:ext cx="333375" cy="190500"/>
          <a:chOff x="823" y="397"/>
          <a:chExt cx="107" cy="56"/>
        </a:xfrm>
        <a:solidFill>
          <a:srgbClr val="FFFFFF"/>
        </a:solidFill>
      </xdr:grpSpPr>
      <xdr:sp macro="[0]!Macro2">
        <xdr:nvSpPr>
          <xdr:cNvPr id="19" name="TextBox 224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rc 225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1270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1028700</xdr:colOff>
      <xdr:row>11</xdr:row>
      <xdr:rowOff>142875</xdr:rowOff>
    </xdr:from>
    <xdr:to>
      <xdr:col>14</xdr:col>
      <xdr:colOff>1371600</xdr:colOff>
      <xdr:row>13</xdr:row>
      <xdr:rowOff>19050</xdr:rowOff>
    </xdr:to>
    <xdr:grpSp>
      <xdr:nvGrpSpPr>
        <xdr:cNvPr id="21" name="Group 226"/>
        <xdr:cNvGrpSpPr>
          <a:grpSpLocks/>
        </xdr:cNvGrpSpPr>
      </xdr:nvGrpSpPr>
      <xdr:grpSpPr>
        <a:xfrm flipH="1">
          <a:off x="8562975" y="2162175"/>
          <a:ext cx="342900" cy="200025"/>
          <a:chOff x="823" y="397"/>
          <a:chExt cx="107" cy="56"/>
        </a:xfrm>
        <a:solidFill>
          <a:srgbClr val="FFFFFF"/>
        </a:solidFill>
      </xdr:grpSpPr>
      <xdr:sp macro="[0]!Macro2">
        <xdr:nvSpPr>
          <xdr:cNvPr id="22" name="TextBox 227"/>
          <xdr:cNvSpPr txBox="1">
            <a:spLocks noChangeArrowheads="1"/>
          </xdr:cNvSpPr>
        </xdr:nvSpPr>
        <xdr:spPr>
          <a:xfrm>
            <a:off x="823" y="397"/>
            <a:ext cx="107" cy="56"/>
          </a:xfrm>
          <a:prstGeom prst="rect">
            <a:avLst/>
          </a:prstGeom>
          <a:solidFill>
            <a:srgbClr val="FFCC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rc 228"/>
          <xdr:cNvSpPr>
            <a:spLocks/>
          </xdr:cNvSpPr>
        </xdr:nvSpPr>
        <xdr:spPr>
          <a:xfrm flipH="1">
            <a:off x="838" y="405"/>
            <a:ext cx="67" cy="39"/>
          </a:xfrm>
          <a:prstGeom prst="arc">
            <a:avLst>
              <a:gd name="adj1" fmla="val 27256666"/>
              <a:gd name="adj2" fmla="val 50000"/>
            </a:avLst>
          </a:prstGeom>
          <a:solidFill>
            <a:srgbClr val="FFCC00"/>
          </a:solidFill>
          <a:ln w="12700" cmpd="sng">
            <a:solidFill>
              <a:srgbClr val="00008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314325</xdr:colOff>
      <xdr:row>12</xdr:row>
      <xdr:rowOff>104775</xdr:rowOff>
    </xdr:from>
    <xdr:to>
      <xdr:col>8</xdr:col>
      <xdr:colOff>809625</xdr:colOff>
      <xdr:row>23</xdr:row>
      <xdr:rowOff>38100</xdr:rowOff>
    </xdr:to>
    <xdr:grpSp>
      <xdr:nvGrpSpPr>
        <xdr:cNvPr id="24" name="Groupe 300"/>
        <xdr:cNvGrpSpPr>
          <a:grpSpLocks noChangeAspect="1"/>
        </xdr:cNvGrpSpPr>
      </xdr:nvGrpSpPr>
      <xdr:grpSpPr>
        <a:xfrm rot="19320000">
          <a:off x="885825" y="2286000"/>
          <a:ext cx="3733800" cy="2000250"/>
          <a:chOff x="-586" y="-586"/>
          <a:chExt cx="4002" cy="2080"/>
        </a:xfrm>
        <a:solidFill>
          <a:srgbClr val="FFFFFF"/>
        </a:solidFill>
      </xdr:grpSpPr>
      <xdr:sp>
        <xdr:nvSpPr>
          <xdr:cNvPr id="25" name="AutoShape 230"/>
          <xdr:cNvSpPr>
            <a:spLocks noChangeAspect="1"/>
          </xdr:cNvSpPr>
        </xdr:nvSpPr>
        <xdr:spPr>
          <a:xfrm>
            <a:off x="-584" y="-584"/>
            <a:ext cx="4000" cy="2000"/>
          </a:xfrm>
          <a:prstGeom prst="arc">
            <a:avLst>
              <a:gd name="adj1" fmla="val 54563333"/>
              <a:gd name="adj2" fmla="val 50000"/>
            </a:avLst>
          </a:prstGeom>
          <a:solidFill>
            <a:srgbClr val="CCFFFF">
              <a:alpha val="50000"/>
            </a:srgbClr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31"/>
          <xdr:cNvSpPr>
            <a:spLocks noChangeAspect="1"/>
          </xdr:cNvSpPr>
        </xdr:nvSpPr>
        <xdr:spPr>
          <a:xfrm>
            <a:off x="-586" y="1414"/>
            <a:ext cx="4000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32"/>
          <xdr:cNvSpPr>
            <a:spLocks noChangeAspect="1"/>
          </xdr:cNvSpPr>
        </xdr:nvSpPr>
        <xdr:spPr>
          <a:xfrm>
            <a:off x="1414" y="1334"/>
            <a:ext cx="0" cy="16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33"/>
          <xdr:cNvSpPr>
            <a:spLocks noChangeAspect="1"/>
          </xdr:cNvSpPr>
        </xdr:nvSpPr>
        <xdr:spPr>
          <a:xfrm>
            <a:off x="1414" y="314"/>
            <a:ext cx="0" cy="20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34"/>
          <xdr:cNvSpPr>
            <a:spLocks noChangeAspect="1"/>
          </xdr:cNvSpPr>
        </xdr:nvSpPr>
        <xdr:spPr>
          <a:xfrm flipV="1">
            <a:off x="1414" y="1067"/>
            <a:ext cx="1970" cy="34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236"/>
          <xdr:cNvSpPr>
            <a:spLocks noChangeAspect="1"/>
          </xdr:cNvSpPr>
        </xdr:nvSpPr>
        <xdr:spPr>
          <a:xfrm flipV="1">
            <a:off x="1414" y="730"/>
            <a:ext cx="1879" cy="68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238"/>
          <xdr:cNvSpPr>
            <a:spLocks noChangeAspect="1"/>
          </xdr:cNvSpPr>
        </xdr:nvSpPr>
        <xdr:spPr>
          <a:xfrm flipV="1">
            <a:off x="1414" y="414"/>
            <a:ext cx="1732" cy="100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240"/>
          <xdr:cNvSpPr>
            <a:spLocks noChangeAspect="1"/>
          </xdr:cNvSpPr>
        </xdr:nvSpPr>
        <xdr:spPr>
          <a:xfrm flipV="1">
            <a:off x="1414" y="128"/>
            <a:ext cx="1532" cy="128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242"/>
          <xdr:cNvSpPr>
            <a:spLocks noChangeAspect="1"/>
          </xdr:cNvSpPr>
        </xdr:nvSpPr>
        <xdr:spPr>
          <a:xfrm flipV="1">
            <a:off x="1414" y="-118"/>
            <a:ext cx="1286" cy="153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244"/>
          <xdr:cNvSpPr>
            <a:spLocks noChangeAspect="1"/>
          </xdr:cNvSpPr>
        </xdr:nvSpPr>
        <xdr:spPr>
          <a:xfrm flipV="1">
            <a:off x="1414" y="-318"/>
            <a:ext cx="1001" cy="173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246"/>
          <xdr:cNvSpPr>
            <a:spLocks noChangeAspect="1"/>
          </xdr:cNvSpPr>
        </xdr:nvSpPr>
        <xdr:spPr>
          <a:xfrm flipV="1">
            <a:off x="1414" y="-465"/>
            <a:ext cx="684" cy="187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248"/>
          <xdr:cNvSpPr>
            <a:spLocks noChangeAspect="1"/>
          </xdr:cNvSpPr>
        </xdr:nvSpPr>
        <xdr:spPr>
          <a:xfrm flipV="1">
            <a:off x="1414" y="-556"/>
            <a:ext cx="347" cy="197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250"/>
          <xdr:cNvSpPr>
            <a:spLocks noChangeAspect="1"/>
          </xdr:cNvSpPr>
        </xdr:nvSpPr>
        <xdr:spPr>
          <a:xfrm flipV="1">
            <a:off x="1414" y="-586"/>
            <a:ext cx="0" cy="200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252"/>
          <xdr:cNvSpPr>
            <a:spLocks noChangeAspect="1"/>
          </xdr:cNvSpPr>
        </xdr:nvSpPr>
        <xdr:spPr>
          <a:xfrm flipH="1" flipV="1">
            <a:off x="1067" y="-556"/>
            <a:ext cx="347" cy="197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254"/>
          <xdr:cNvSpPr>
            <a:spLocks noChangeAspect="1"/>
          </xdr:cNvSpPr>
        </xdr:nvSpPr>
        <xdr:spPr>
          <a:xfrm flipH="1" flipV="1">
            <a:off x="730" y="-465"/>
            <a:ext cx="684" cy="187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256"/>
          <xdr:cNvSpPr>
            <a:spLocks noChangeAspect="1"/>
          </xdr:cNvSpPr>
        </xdr:nvSpPr>
        <xdr:spPr>
          <a:xfrm flipH="1" flipV="1">
            <a:off x="415" y="-318"/>
            <a:ext cx="1001" cy="173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258"/>
          <xdr:cNvSpPr>
            <a:spLocks noChangeAspect="1"/>
          </xdr:cNvSpPr>
        </xdr:nvSpPr>
        <xdr:spPr>
          <a:xfrm flipH="1" flipV="1">
            <a:off x="128" y="-118"/>
            <a:ext cx="1286" cy="153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260"/>
          <xdr:cNvSpPr>
            <a:spLocks noChangeAspect="1"/>
          </xdr:cNvSpPr>
        </xdr:nvSpPr>
        <xdr:spPr>
          <a:xfrm flipH="1" flipV="1">
            <a:off x="-118" y="128"/>
            <a:ext cx="1532" cy="128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262"/>
          <xdr:cNvSpPr>
            <a:spLocks noChangeAspect="1"/>
          </xdr:cNvSpPr>
        </xdr:nvSpPr>
        <xdr:spPr>
          <a:xfrm flipH="1" flipV="1">
            <a:off x="-318" y="414"/>
            <a:ext cx="1732" cy="100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264"/>
          <xdr:cNvSpPr>
            <a:spLocks noChangeAspect="1"/>
          </xdr:cNvSpPr>
        </xdr:nvSpPr>
        <xdr:spPr>
          <a:xfrm flipH="1" flipV="1">
            <a:off x="-465" y="730"/>
            <a:ext cx="1879" cy="68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266"/>
          <xdr:cNvSpPr>
            <a:spLocks noChangeAspect="1"/>
          </xdr:cNvSpPr>
        </xdr:nvSpPr>
        <xdr:spPr>
          <a:xfrm flipH="1" flipV="1">
            <a:off x="-556" y="1067"/>
            <a:ext cx="1970" cy="34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68"/>
          <xdr:cNvSpPr>
            <a:spLocks noChangeAspect="1"/>
          </xdr:cNvSpPr>
        </xdr:nvSpPr>
        <xdr:spPr>
          <a:xfrm flipV="1">
            <a:off x="3327" y="1240"/>
            <a:ext cx="79" cy="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269"/>
          <xdr:cNvSpPr>
            <a:spLocks noChangeAspect="1"/>
          </xdr:cNvSpPr>
        </xdr:nvSpPr>
        <xdr:spPr>
          <a:xfrm flipV="1">
            <a:off x="3269" y="896"/>
            <a:ext cx="77" cy="2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270"/>
          <xdr:cNvSpPr>
            <a:spLocks noChangeAspect="1"/>
          </xdr:cNvSpPr>
        </xdr:nvSpPr>
        <xdr:spPr>
          <a:xfrm flipV="1">
            <a:off x="3154" y="569"/>
            <a:ext cx="73" cy="3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271"/>
          <xdr:cNvSpPr>
            <a:spLocks noChangeAspect="1"/>
          </xdr:cNvSpPr>
        </xdr:nvSpPr>
        <xdr:spPr>
          <a:xfrm flipV="1">
            <a:off x="2987" y="267"/>
            <a:ext cx="65" cy="4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272"/>
          <xdr:cNvSpPr>
            <a:spLocks noChangeAspect="1"/>
          </xdr:cNvSpPr>
        </xdr:nvSpPr>
        <xdr:spPr>
          <a:xfrm flipV="1">
            <a:off x="2772" y="0"/>
            <a:ext cx="56" cy="5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273"/>
          <xdr:cNvSpPr>
            <a:spLocks noChangeAspect="1"/>
          </xdr:cNvSpPr>
        </xdr:nvSpPr>
        <xdr:spPr>
          <a:xfrm flipV="1">
            <a:off x="2515" y="-224"/>
            <a:ext cx="46" cy="6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274"/>
          <xdr:cNvSpPr>
            <a:spLocks noChangeAspect="1"/>
          </xdr:cNvSpPr>
        </xdr:nvSpPr>
        <xdr:spPr>
          <a:xfrm flipV="1">
            <a:off x="2225" y="-399"/>
            <a:ext cx="34" cy="7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275"/>
          <xdr:cNvSpPr>
            <a:spLocks noChangeAspect="1"/>
          </xdr:cNvSpPr>
        </xdr:nvSpPr>
        <xdr:spPr>
          <a:xfrm flipV="1">
            <a:off x="1911" y="-518"/>
            <a:ext cx="21" cy="7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276"/>
          <xdr:cNvSpPr>
            <a:spLocks noChangeAspect="1"/>
          </xdr:cNvSpPr>
        </xdr:nvSpPr>
        <xdr:spPr>
          <a:xfrm flipV="1">
            <a:off x="1581" y="-578"/>
            <a:ext cx="7" cy="7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277"/>
          <xdr:cNvSpPr>
            <a:spLocks noChangeAspect="1"/>
          </xdr:cNvSpPr>
        </xdr:nvSpPr>
        <xdr:spPr>
          <a:xfrm flipH="1" flipV="1">
            <a:off x="1240" y="-578"/>
            <a:ext cx="7" cy="7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278"/>
          <xdr:cNvSpPr>
            <a:spLocks noChangeAspect="1"/>
          </xdr:cNvSpPr>
        </xdr:nvSpPr>
        <xdr:spPr>
          <a:xfrm flipH="1" flipV="1">
            <a:off x="896" y="-518"/>
            <a:ext cx="21" cy="7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279"/>
          <xdr:cNvSpPr>
            <a:spLocks noChangeAspect="1"/>
          </xdr:cNvSpPr>
        </xdr:nvSpPr>
        <xdr:spPr>
          <a:xfrm flipH="1" flipV="1">
            <a:off x="569" y="-399"/>
            <a:ext cx="34" cy="7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280"/>
          <xdr:cNvSpPr>
            <a:spLocks noChangeAspect="1"/>
          </xdr:cNvSpPr>
        </xdr:nvSpPr>
        <xdr:spPr>
          <a:xfrm flipH="1" flipV="1">
            <a:off x="267" y="-224"/>
            <a:ext cx="46" cy="6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281"/>
          <xdr:cNvSpPr>
            <a:spLocks noChangeAspect="1"/>
          </xdr:cNvSpPr>
        </xdr:nvSpPr>
        <xdr:spPr>
          <a:xfrm flipH="1" flipV="1">
            <a:off x="0" y="0"/>
            <a:ext cx="56" cy="5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282"/>
          <xdr:cNvSpPr>
            <a:spLocks noChangeAspect="1"/>
          </xdr:cNvSpPr>
        </xdr:nvSpPr>
        <xdr:spPr>
          <a:xfrm flipH="1" flipV="1">
            <a:off x="-224" y="267"/>
            <a:ext cx="65" cy="4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283"/>
          <xdr:cNvSpPr>
            <a:spLocks noChangeAspect="1"/>
          </xdr:cNvSpPr>
        </xdr:nvSpPr>
        <xdr:spPr>
          <a:xfrm flipH="1" flipV="1">
            <a:off x="-399" y="569"/>
            <a:ext cx="73" cy="3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284"/>
          <xdr:cNvSpPr>
            <a:spLocks noChangeAspect="1"/>
          </xdr:cNvSpPr>
        </xdr:nvSpPr>
        <xdr:spPr>
          <a:xfrm flipH="1" flipV="1">
            <a:off x="-518" y="896"/>
            <a:ext cx="77" cy="2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285"/>
          <xdr:cNvSpPr>
            <a:spLocks noChangeAspect="1"/>
          </xdr:cNvSpPr>
        </xdr:nvSpPr>
        <xdr:spPr>
          <a:xfrm flipH="1" flipV="1">
            <a:off x="-578" y="1240"/>
            <a:ext cx="79" cy="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286"/>
          <xdr:cNvSpPr>
            <a:spLocks noChangeAspect="1"/>
          </xdr:cNvSpPr>
        </xdr:nvSpPr>
        <xdr:spPr>
          <a:xfrm flipV="1">
            <a:off x="3374" y="1379"/>
            <a:ext cx="40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287"/>
          <xdr:cNvSpPr>
            <a:spLocks noChangeAspect="1"/>
          </xdr:cNvSpPr>
        </xdr:nvSpPr>
        <xdr:spPr>
          <a:xfrm flipV="1">
            <a:off x="3373" y="1344"/>
            <a:ext cx="40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288"/>
          <xdr:cNvSpPr>
            <a:spLocks noChangeAspect="1"/>
          </xdr:cNvSpPr>
        </xdr:nvSpPr>
        <xdr:spPr>
          <a:xfrm flipV="1">
            <a:off x="3371" y="1309"/>
            <a:ext cx="40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289"/>
          <xdr:cNvSpPr>
            <a:spLocks noChangeAspect="1"/>
          </xdr:cNvSpPr>
        </xdr:nvSpPr>
        <xdr:spPr>
          <a:xfrm flipV="1">
            <a:off x="3369" y="1274"/>
            <a:ext cx="40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290"/>
          <xdr:cNvSpPr>
            <a:spLocks noChangeAspect="1"/>
          </xdr:cNvSpPr>
        </xdr:nvSpPr>
        <xdr:spPr>
          <a:xfrm flipV="1">
            <a:off x="3363" y="1205"/>
            <a:ext cx="40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291"/>
          <xdr:cNvSpPr>
            <a:spLocks noChangeAspect="1"/>
          </xdr:cNvSpPr>
        </xdr:nvSpPr>
        <xdr:spPr>
          <a:xfrm flipV="1">
            <a:off x="3359" y="1170"/>
            <a:ext cx="4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292"/>
          <xdr:cNvSpPr>
            <a:spLocks noChangeAspect="1"/>
          </xdr:cNvSpPr>
        </xdr:nvSpPr>
        <xdr:spPr>
          <a:xfrm flipV="1">
            <a:off x="3355" y="1136"/>
            <a:ext cx="4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293"/>
          <xdr:cNvSpPr>
            <a:spLocks noChangeAspect="1"/>
          </xdr:cNvSpPr>
        </xdr:nvSpPr>
        <xdr:spPr>
          <a:xfrm flipV="1">
            <a:off x="3350" y="1101"/>
            <a:ext cx="39" cy="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294"/>
          <xdr:cNvSpPr>
            <a:spLocks noChangeAspect="1"/>
          </xdr:cNvSpPr>
        </xdr:nvSpPr>
        <xdr:spPr>
          <a:xfrm flipV="1">
            <a:off x="3338" y="1032"/>
            <a:ext cx="39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295"/>
          <xdr:cNvSpPr>
            <a:spLocks noChangeAspect="1"/>
          </xdr:cNvSpPr>
        </xdr:nvSpPr>
        <xdr:spPr>
          <a:xfrm flipV="1">
            <a:off x="3331" y="998"/>
            <a:ext cx="39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296"/>
          <xdr:cNvSpPr>
            <a:spLocks noChangeAspect="1"/>
          </xdr:cNvSpPr>
        </xdr:nvSpPr>
        <xdr:spPr>
          <a:xfrm flipV="1">
            <a:off x="3324" y="964"/>
            <a:ext cx="39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297"/>
          <xdr:cNvSpPr>
            <a:spLocks noChangeAspect="1"/>
          </xdr:cNvSpPr>
        </xdr:nvSpPr>
        <xdr:spPr>
          <a:xfrm flipV="1">
            <a:off x="3316" y="930"/>
            <a:ext cx="39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298"/>
          <xdr:cNvSpPr>
            <a:spLocks noChangeAspect="1"/>
          </xdr:cNvSpPr>
        </xdr:nvSpPr>
        <xdr:spPr>
          <a:xfrm flipV="1">
            <a:off x="3298" y="863"/>
            <a:ext cx="39" cy="1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299"/>
          <xdr:cNvSpPr>
            <a:spLocks noChangeAspect="1"/>
          </xdr:cNvSpPr>
        </xdr:nvSpPr>
        <xdr:spPr>
          <a:xfrm flipV="1">
            <a:off x="3288" y="829"/>
            <a:ext cx="39" cy="1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300"/>
          <xdr:cNvSpPr>
            <a:spLocks noChangeAspect="1"/>
          </xdr:cNvSpPr>
        </xdr:nvSpPr>
        <xdr:spPr>
          <a:xfrm flipV="1">
            <a:off x="3278" y="796"/>
            <a:ext cx="38" cy="1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301"/>
          <xdr:cNvSpPr>
            <a:spLocks noChangeAspect="1"/>
          </xdr:cNvSpPr>
        </xdr:nvSpPr>
        <xdr:spPr>
          <a:xfrm flipV="1">
            <a:off x="3267" y="763"/>
            <a:ext cx="38" cy="1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302"/>
          <xdr:cNvSpPr>
            <a:spLocks noChangeAspect="1"/>
          </xdr:cNvSpPr>
        </xdr:nvSpPr>
        <xdr:spPr>
          <a:xfrm flipV="1">
            <a:off x="3244" y="697"/>
            <a:ext cx="37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303"/>
          <xdr:cNvSpPr>
            <a:spLocks noChangeAspect="1"/>
          </xdr:cNvSpPr>
        </xdr:nvSpPr>
        <xdr:spPr>
          <a:xfrm flipV="1">
            <a:off x="3231" y="665"/>
            <a:ext cx="37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304"/>
          <xdr:cNvSpPr>
            <a:spLocks noChangeAspect="1"/>
          </xdr:cNvSpPr>
        </xdr:nvSpPr>
        <xdr:spPr>
          <a:xfrm flipV="1">
            <a:off x="3218" y="633"/>
            <a:ext cx="37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305"/>
          <xdr:cNvSpPr>
            <a:spLocks noChangeAspect="1"/>
          </xdr:cNvSpPr>
        </xdr:nvSpPr>
        <xdr:spPr>
          <a:xfrm flipV="1">
            <a:off x="3205" y="601"/>
            <a:ext cx="36" cy="1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306"/>
          <xdr:cNvSpPr>
            <a:spLocks noChangeAspect="1"/>
          </xdr:cNvSpPr>
        </xdr:nvSpPr>
        <xdr:spPr>
          <a:xfrm flipV="1">
            <a:off x="3176" y="537"/>
            <a:ext cx="36" cy="1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307"/>
          <xdr:cNvSpPr>
            <a:spLocks noChangeAspect="1"/>
          </xdr:cNvSpPr>
        </xdr:nvSpPr>
        <xdr:spPr>
          <a:xfrm flipV="1">
            <a:off x="3160" y="506"/>
            <a:ext cx="36" cy="1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308"/>
          <xdr:cNvSpPr>
            <a:spLocks noChangeAspect="1"/>
          </xdr:cNvSpPr>
        </xdr:nvSpPr>
        <xdr:spPr>
          <a:xfrm flipV="1">
            <a:off x="3145" y="475"/>
            <a:ext cx="35" cy="1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309"/>
          <xdr:cNvSpPr>
            <a:spLocks noChangeAspect="1"/>
          </xdr:cNvSpPr>
        </xdr:nvSpPr>
        <xdr:spPr>
          <a:xfrm flipV="1">
            <a:off x="3128" y="444"/>
            <a:ext cx="35" cy="2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310"/>
          <xdr:cNvSpPr>
            <a:spLocks noChangeAspect="1"/>
          </xdr:cNvSpPr>
        </xdr:nvSpPr>
        <xdr:spPr>
          <a:xfrm flipV="1">
            <a:off x="3094" y="384"/>
            <a:ext cx="34" cy="2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311"/>
          <xdr:cNvSpPr>
            <a:spLocks noChangeAspect="1"/>
          </xdr:cNvSpPr>
        </xdr:nvSpPr>
        <xdr:spPr>
          <a:xfrm flipV="1">
            <a:off x="3076" y="354"/>
            <a:ext cx="34" cy="2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312"/>
          <xdr:cNvSpPr>
            <a:spLocks noChangeAspect="1"/>
          </xdr:cNvSpPr>
        </xdr:nvSpPr>
        <xdr:spPr>
          <a:xfrm flipV="1">
            <a:off x="3058" y="325"/>
            <a:ext cx="33" cy="2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313"/>
          <xdr:cNvSpPr>
            <a:spLocks noChangeAspect="1"/>
          </xdr:cNvSpPr>
        </xdr:nvSpPr>
        <xdr:spPr>
          <a:xfrm flipV="1">
            <a:off x="3039" y="296"/>
            <a:ext cx="33" cy="2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314"/>
          <xdr:cNvSpPr>
            <a:spLocks noChangeAspect="1"/>
          </xdr:cNvSpPr>
        </xdr:nvSpPr>
        <xdr:spPr>
          <a:xfrm flipV="1">
            <a:off x="3000" y="238"/>
            <a:ext cx="32" cy="2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315"/>
          <xdr:cNvSpPr>
            <a:spLocks noChangeAspect="1"/>
          </xdr:cNvSpPr>
        </xdr:nvSpPr>
        <xdr:spPr>
          <a:xfrm flipV="1">
            <a:off x="2979" y="210"/>
            <a:ext cx="32" cy="2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316"/>
          <xdr:cNvSpPr>
            <a:spLocks noChangeAspect="1"/>
          </xdr:cNvSpPr>
        </xdr:nvSpPr>
        <xdr:spPr>
          <a:xfrm flipV="1">
            <a:off x="2959" y="183"/>
            <a:ext cx="31" cy="2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317"/>
          <xdr:cNvSpPr>
            <a:spLocks noChangeAspect="1"/>
          </xdr:cNvSpPr>
        </xdr:nvSpPr>
        <xdr:spPr>
          <a:xfrm flipV="1">
            <a:off x="2937" y="155"/>
            <a:ext cx="31" cy="2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318"/>
          <xdr:cNvSpPr>
            <a:spLocks noChangeAspect="1"/>
          </xdr:cNvSpPr>
        </xdr:nvSpPr>
        <xdr:spPr>
          <a:xfrm flipV="1">
            <a:off x="2893" y="102"/>
            <a:ext cx="30" cy="2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319"/>
          <xdr:cNvSpPr>
            <a:spLocks noChangeAspect="1"/>
          </xdr:cNvSpPr>
        </xdr:nvSpPr>
        <xdr:spPr>
          <a:xfrm flipV="1">
            <a:off x="2871" y="76"/>
            <a:ext cx="29" cy="2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320"/>
          <xdr:cNvSpPr>
            <a:spLocks noChangeAspect="1"/>
          </xdr:cNvSpPr>
        </xdr:nvSpPr>
        <xdr:spPr>
          <a:xfrm flipV="1">
            <a:off x="2847" y="50"/>
            <a:ext cx="30" cy="2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321"/>
          <xdr:cNvSpPr>
            <a:spLocks noChangeAspect="1"/>
          </xdr:cNvSpPr>
        </xdr:nvSpPr>
        <xdr:spPr>
          <a:xfrm flipV="1">
            <a:off x="2824" y="25"/>
            <a:ext cx="29" cy="2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322"/>
          <xdr:cNvSpPr>
            <a:spLocks noChangeAspect="1"/>
          </xdr:cNvSpPr>
        </xdr:nvSpPr>
        <xdr:spPr>
          <a:xfrm flipV="1">
            <a:off x="2776" y="-25"/>
            <a:ext cx="27" cy="2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323"/>
          <xdr:cNvSpPr>
            <a:spLocks noChangeAspect="1"/>
          </xdr:cNvSpPr>
        </xdr:nvSpPr>
        <xdr:spPr>
          <a:xfrm flipV="1">
            <a:off x="2751" y="-49"/>
            <a:ext cx="27" cy="3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324"/>
          <xdr:cNvSpPr>
            <a:spLocks noChangeAspect="1"/>
          </xdr:cNvSpPr>
        </xdr:nvSpPr>
        <xdr:spPr>
          <a:xfrm flipV="1">
            <a:off x="2725" y="-72"/>
            <a:ext cx="27" cy="2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325"/>
          <xdr:cNvSpPr>
            <a:spLocks noChangeAspect="1"/>
          </xdr:cNvSpPr>
        </xdr:nvSpPr>
        <xdr:spPr>
          <a:xfrm flipV="1">
            <a:off x="2700" y="-95"/>
            <a:ext cx="26" cy="3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326"/>
          <xdr:cNvSpPr>
            <a:spLocks noChangeAspect="1"/>
          </xdr:cNvSpPr>
        </xdr:nvSpPr>
        <xdr:spPr>
          <a:xfrm flipV="1">
            <a:off x="2647" y="-140"/>
            <a:ext cx="26" cy="3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327"/>
          <xdr:cNvSpPr>
            <a:spLocks noChangeAspect="1"/>
          </xdr:cNvSpPr>
        </xdr:nvSpPr>
        <xdr:spPr>
          <a:xfrm flipV="1">
            <a:off x="2621" y="-162"/>
            <a:ext cx="24" cy="3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328"/>
          <xdr:cNvSpPr>
            <a:spLocks noChangeAspect="1"/>
          </xdr:cNvSpPr>
        </xdr:nvSpPr>
        <xdr:spPr>
          <a:xfrm flipV="1">
            <a:off x="2594" y="-183"/>
            <a:ext cx="24" cy="3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329"/>
          <xdr:cNvSpPr>
            <a:spLocks noChangeAspect="1"/>
          </xdr:cNvSpPr>
        </xdr:nvSpPr>
        <xdr:spPr>
          <a:xfrm flipV="1">
            <a:off x="2566" y="-204"/>
            <a:ext cx="24" cy="3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330"/>
          <xdr:cNvSpPr>
            <a:spLocks noChangeAspect="1"/>
          </xdr:cNvSpPr>
        </xdr:nvSpPr>
        <xdr:spPr>
          <a:xfrm flipV="1">
            <a:off x="2510" y="-244"/>
            <a:ext cx="22" cy="3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331"/>
          <xdr:cNvSpPr>
            <a:spLocks noChangeAspect="1"/>
          </xdr:cNvSpPr>
        </xdr:nvSpPr>
        <xdr:spPr>
          <a:xfrm flipV="1">
            <a:off x="2481" y="-263"/>
            <a:ext cx="22" cy="3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332"/>
          <xdr:cNvSpPr>
            <a:spLocks noChangeAspect="1"/>
          </xdr:cNvSpPr>
        </xdr:nvSpPr>
        <xdr:spPr>
          <a:xfrm flipV="1">
            <a:off x="2453" y="-282"/>
            <a:ext cx="21" cy="3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333"/>
          <xdr:cNvSpPr>
            <a:spLocks noChangeAspect="1"/>
          </xdr:cNvSpPr>
        </xdr:nvSpPr>
        <xdr:spPr>
          <a:xfrm flipV="1">
            <a:off x="2423" y="-300"/>
            <a:ext cx="21" cy="3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334"/>
          <xdr:cNvSpPr>
            <a:spLocks noChangeAspect="1"/>
          </xdr:cNvSpPr>
        </xdr:nvSpPr>
        <xdr:spPr>
          <a:xfrm flipV="1">
            <a:off x="2364" y="-335"/>
            <a:ext cx="20" cy="3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335"/>
          <xdr:cNvSpPr>
            <a:spLocks noChangeAspect="1"/>
          </xdr:cNvSpPr>
        </xdr:nvSpPr>
        <xdr:spPr>
          <a:xfrm flipV="1">
            <a:off x="2334" y="-352"/>
            <a:ext cx="19" cy="3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336"/>
          <xdr:cNvSpPr>
            <a:spLocks noChangeAspect="1"/>
          </xdr:cNvSpPr>
        </xdr:nvSpPr>
        <xdr:spPr>
          <a:xfrm flipV="1">
            <a:off x="2304" y="-368"/>
            <a:ext cx="18" cy="3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337"/>
          <xdr:cNvSpPr>
            <a:spLocks noChangeAspect="1"/>
          </xdr:cNvSpPr>
        </xdr:nvSpPr>
        <xdr:spPr>
          <a:xfrm flipV="1">
            <a:off x="2273" y="-384"/>
            <a:ext cx="18" cy="3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338"/>
          <xdr:cNvSpPr>
            <a:spLocks noChangeAspect="1"/>
          </xdr:cNvSpPr>
        </xdr:nvSpPr>
        <xdr:spPr>
          <a:xfrm flipV="1">
            <a:off x="2211" y="-413"/>
            <a:ext cx="16" cy="3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339"/>
          <xdr:cNvSpPr>
            <a:spLocks noChangeAspect="1"/>
          </xdr:cNvSpPr>
        </xdr:nvSpPr>
        <xdr:spPr>
          <a:xfrm flipV="1">
            <a:off x="2180" y="-427"/>
            <a:ext cx="15" cy="3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340"/>
          <xdr:cNvSpPr>
            <a:spLocks noChangeAspect="1"/>
          </xdr:cNvSpPr>
        </xdr:nvSpPr>
        <xdr:spPr>
          <a:xfrm flipV="1">
            <a:off x="2148" y="-440"/>
            <a:ext cx="15" cy="3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341"/>
          <xdr:cNvSpPr>
            <a:spLocks noChangeAspect="1"/>
          </xdr:cNvSpPr>
        </xdr:nvSpPr>
        <xdr:spPr>
          <a:xfrm flipV="1">
            <a:off x="2116" y="-453"/>
            <a:ext cx="15" cy="3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342"/>
          <xdr:cNvSpPr>
            <a:spLocks noChangeAspect="1"/>
          </xdr:cNvSpPr>
        </xdr:nvSpPr>
        <xdr:spPr>
          <a:xfrm flipV="1">
            <a:off x="2052" y="-477"/>
            <a:ext cx="13" cy="3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343"/>
          <xdr:cNvSpPr>
            <a:spLocks noChangeAspect="1"/>
          </xdr:cNvSpPr>
        </xdr:nvSpPr>
        <xdr:spPr>
          <a:xfrm flipV="1">
            <a:off x="2020" y="-488"/>
            <a:ext cx="12" cy="3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344"/>
          <xdr:cNvSpPr>
            <a:spLocks noChangeAspect="1"/>
          </xdr:cNvSpPr>
        </xdr:nvSpPr>
        <xdr:spPr>
          <a:xfrm flipV="1">
            <a:off x="1987" y="-499"/>
            <a:ext cx="12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345"/>
          <xdr:cNvSpPr>
            <a:spLocks noChangeAspect="1"/>
          </xdr:cNvSpPr>
        </xdr:nvSpPr>
        <xdr:spPr>
          <a:xfrm flipV="1">
            <a:off x="1954" y="-509"/>
            <a:ext cx="11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AutoShape 346"/>
          <xdr:cNvSpPr>
            <a:spLocks noChangeAspect="1"/>
          </xdr:cNvSpPr>
        </xdr:nvSpPr>
        <xdr:spPr>
          <a:xfrm flipV="1">
            <a:off x="1888" y="-527"/>
            <a:ext cx="10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347"/>
          <xdr:cNvSpPr>
            <a:spLocks noChangeAspect="1"/>
          </xdr:cNvSpPr>
        </xdr:nvSpPr>
        <xdr:spPr>
          <a:xfrm flipV="1">
            <a:off x="1855" y="-535"/>
            <a:ext cx="9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348"/>
          <xdr:cNvSpPr>
            <a:spLocks noChangeAspect="1"/>
          </xdr:cNvSpPr>
        </xdr:nvSpPr>
        <xdr:spPr>
          <a:xfrm flipV="1">
            <a:off x="1822" y="-542"/>
            <a:ext cx="8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349"/>
          <xdr:cNvSpPr>
            <a:spLocks noChangeAspect="1"/>
          </xdr:cNvSpPr>
        </xdr:nvSpPr>
        <xdr:spPr>
          <a:xfrm flipV="1">
            <a:off x="1788" y="-549"/>
            <a:ext cx="8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350"/>
          <xdr:cNvSpPr>
            <a:spLocks noChangeAspect="1"/>
          </xdr:cNvSpPr>
        </xdr:nvSpPr>
        <xdr:spPr>
          <a:xfrm flipV="1">
            <a:off x="1721" y="-561"/>
            <a:ext cx="6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351"/>
          <xdr:cNvSpPr>
            <a:spLocks noChangeAspect="1"/>
          </xdr:cNvSpPr>
        </xdr:nvSpPr>
        <xdr:spPr>
          <a:xfrm flipV="1">
            <a:off x="1687" y="-567"/>
            <a:ext cx="5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352"/>
          <xdr:cNvSpPr>
            <a:spLocks noChangeAspect="1"/>
          </xdr:cNvSpPr>
        </xdr:nvSpPr>
        <xdr:spPr>
          <a:xfrm flipV="1">
            <a:off x="1653" y="-571"/>
            <a:ext cx="5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353"/>
          <xdr:cNvSpPr>
            <a:spLocks noChangeAspect="1"/>
          </xdr:cNvSpPr>
        </xdr:nvSpPr>
        <xdr:spPr>
          <a:xfrm flipV="1">
            <a:off x="1619" y="-575"/>
            <a:ext cx="4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354"/>
          <xdr:cNvSpPr>
            <a:spLocks noChangeAspect="1"/>
          </xdr:cNvSpPr>
        </xdr:nvSpPr>
        <xdr:spPr>
          <a:xfrm flipV="1">
            <a:off x="1551" y="-581"/>
            <a:ext cx="3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355"/>
          <xdr:cNvSpPr>
            <a:spLocks noChangeAspect="1"/>
          </xdr:cNvSpPr>
        </xdr:nvSpPr>
        <xdr:spPr>
          <a:xfrm flipV="1">
            <a:off x="1517" y="-583"/>
            <a:ext cx="2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356"/>
          <xdr:cNvSpPr>
            <a:spLocks noChangeAspect="1"/>
          </xdr:cNvSpPr>
        </xdr:nvSpPr>
        <xdr:spPr>
          <a:xfrm flipV="1">
            <a:off x="1482" y="-585"/>
            <a:ext cx="2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357"/>
          <xdr:cNvSpPr>
            <a:spLocks noChangeAspect="1"/>
          </xdr:cNvSpPr>
        </xdr:nvSpPr>
        <xdr:spPr>
          <a:xfrm flipV="1">
            <a:off x="1448" y="-586"/>
            <a:ext cx="1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358"/>
          <xdr:cNvSpPr>
            <a:spLocks noChangeAspect="1"/>
          </xdr:cNvSpPr>
        </xdr:nvSpPr>
        <xdr:spPr>
          <a:xfrm flipH="1" flipV="1">
            <a:off x="1379" y="-586"/>
            <a:ext cx="1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359"/>
          <xdr:cNvSpPr>
            <a:spLocks noChangeAspect="1"/>
          </xdr:cNvSpPr>
        </xdr:nvSpPr>
        <xdr:spPr>
          <a:xfrm flipH="1" flipV="1">
            <a:off x="1344" y="-585"/>
            <a:ext cx="2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360"/>
          <xdr:cNvSpPr>
            <a:spLocks noChangeAspect="1"/>
          </xdr:cNvSpPr>
        </xdr:nvSpPr>
        <xdr:spPr>
          <a:xfrm flipH="1" flipV="1">
            <a:off x="1309" y="-583"/>
            <a:ext cx="2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361"/>
          <xdr:cNvSpPr>
            <a:spLocks noChangeAspect="1"/>
          </xdr:cNvSpPr>
        </xdr:nvSpPr>
        <xdr:spPr>
          <a:xfrm flipH="1" flipV="1">
            <a:off x="1274" y="-581"/>
            <a:ext cx="3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362"/>
          <xdr:cNvSpPr>
            <a:spLocks noChangeAspect="1"/>
          </xdr:cNvSpPr>
        </xdr:nvSpPr>
        <xdr:spPr>
          <a:xfrm flipH="1" flipV="1">
            <a:off x="1205" y="-575"/>
            <a:ext cx="4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363"/>
          <xdr:cNvSpPr>
            <a:spLocks noChangeAspect="1"/>
          </xdr:cNvSpPr>
        </xdr:nvSpPr>
        <xdr:spPr>
          <a:xfrm flipH="1" flipV="1">
            <a:off x="1170" y="-571"/>
            <a:ext cx="5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364"/>
          <xdr:cNvSpPr>
            <a:spLocks noChangeAspect="1"/>
          </xdr:cNvSpPr>
        </xdr:nvSpPr>
        <xdr:spPr>
          <a:xfrm flipH="1" flipV="1">
            <a:off x="1136" y="-567"/>
            <a:ext cx="5" cy="4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365"/>
          <xdr:cNvSpPr>
            <a:spLocks noChangeAspect="1"/>
          </xdr:cNvSpPr>
        </xdr:nvSpPr>
        <xdr:spPr>
          <a:xfrm flipH="1" flipV="1">
            <a:off x="1101" y="-561"/>
            <a:ext cx="6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366"/>
          <xdr:cNvSpPr>
            <a:spLocks noChangeAspect="1"/>
          </xdr:cNvSpPr>
        </xdr:nvSpPr>
        <xdr:spPr>
          <a:xfrm flipH="1" flipV="1">
            <a:off x="1032" y="-549"/>
            <a:ext cx="8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367"/>
          <xdr:cNvSpPr>
            <a:spLocks noChangeAspect="1"/>
          </xdr:cNvSpPr>
        </xdr:nvSpPr>
        <xdr:spPr>
          <a:xfrm flipH="1" flipV="1">
            <a:off x="998" y="-542"/>
            <a:ext cx="8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368"/>
          <xdr:cNvSpPr>
            <a:spLocks noChangeAspect="1"/>
          </xdr:cNvSpPr>
        </xdr:nvSpPr>
        <xdr:spPr>
          <a:xfrm flipH="1" flipV="1">
            <a:off x="964" y="-535"/>
            <a:ext cx="9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369"/>
          <xdr:cNvSpPr>
            <a:spLocks noChangeAspect="1"/>
          </xdr:cNvSpPr>
        </xdr:nvSpPr>
        <xdr:spPr>
          <a:xfrm flipH="1" flipV="1">
            <a:off x="930" y="-527"/>
            <a:ext cx="10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370"/>
          <xdr:cNvSpPr>
            <a:spLocks noChangeAspect="1"/>
          </xdr:cNvSpPr>
        </xdr:nvSpPr>
        <xdr:spPr>
          <a:xfrm flipH="1" flipV="1">
            <a:off x="863" y="-509"/>
            <a:ext cx="11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371"/>
          <xdr:cNvSpPr>
            <a:spLocks noChangeAspect="1"/>
          </xdr:cNvSpPr>
        </xdr:nvSpPr>
        <xdr:spPr>
          <a:xfrm flipH="1" flipV="1">
            <a:off x="829" y="-499"/>
            <a:ext cx="12" cy="3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372"/>
          <xdr:cNvSpPr>
            <a:spLocks noChangeAspect="1"/>
          </xdr:cNvSpPr>
        </xdr:nvSpPr>
        <xdr:spPr>
          <a:xfrm flipH="1" flipV="1">
            <a:off x="796" y="-488"/>
            <a:ext cx="12" cy="3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373"/>
          <xdr:cNvSpPr>
            <a:spLocks noChangeAspect="1"/>
          </xdr:cNvSpPr>
        </xdr:nvSpPr>
        <xdr:spPr>
          <a:xfrm flipH="1" flipV="1">
            <a:off x="763" y="-477"/>
            <a:ext cx="13" cy="3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374"/>
          <xdr:cNvSpPr>
            <a:spLocks noChangeAspect="1"/>
          </xdr:cNvSpPr>
        </xdr:nvSpPr>
        <xdr:spPr>
          <a:xfrm flipH="1" flipV="1">
            <a:off x="697" y="-453"/>
            <a:ext cx="15" cy="3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375"/>
          <xdr:cNvSpPr>
            <a:spLocks noChangeAspect="1"/>
          </xdr:cNvSpPr>
        </xdr:nvSpPr>
        <xdr:spPr>
          <a:xfrm flipH="1" flipV="1">
            <a:off x="665" y="-440"/>
            <a:ext cx="15" cy="3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376"/>
          <xdr:cNvSpPr>
            <a:spLocks noChangeAspect="1"/>
          </xdr:cNvSpPr>
        </xdr:nvSpPr>
        <xdr:spPr>
          <a:xfrm flipH="1" flipV="1">
            <a:off x="633" y="-427"/>
            <a:ext cx="15" cy="3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377"/>
          <xdr:cNvSpPr>
            <a:spLocks noChangeAspect="1"/>
          </xdr:cNvSpPr>
        </xdr:nvSpPr>
        <xdr:spPr>
          <a:xfrm flipH="1" flipV="1">
            <a:off x="601" y="-413"/>
            <a:ext cx="16" cy="3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AutoShape 378"/>
          <xdr:cNvSpPr>
            <a:spLocks noChangeAspect="1"/>
          </xdr:cNvSpPr>
        </xdr:nvSpPr>
        <xdr:spPr>
          <a:xfrm flipH="1" flipV="1">
            <a:off x="537" y="-384"/>
            <a:ext cx="18" cy="3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379"/>
          <xdr:cNvSpPr>
            <a:spLocks noChangeAspect="1"/>
          </xdr:cNvSpPr>
        </xdr:nvSpPr>
        <xdr:spPr>
          <a:xfrm flipH="1" flipV="1">
            <a:off x="506" y="-368"/>
            <a:ext cx="18" cy="3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380"/>
          <xdr:cNvSpPr>
            <a:spLocks noChangeAspect="1"/>
          </xdr:cNvSpPr>
        </xdr:nvSpPr>
        <xdr:spPr>
          <a:xfrm flipH="1" flipV="1">
            <a:off x="475" y="-352"/>
            <a:ext cx="19" cy="3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AutoShape 381"/>
          <xdr:cNvSpPr>
            <a:spLocks noChangeAspect="1"/>
          </xdr:cNvSpPr>
        </xdr:nvSpPr>
        <xdr:spPr>
          <a:xfrm flipH="1" flipV="1">
            <a:off x="444" y="-335"/>
            <a:ext cx="20" cy="3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382"/>
          <xdr:cNvSpPr>
            <a:spLocks noChangeAspect="1"/>
          </xdr:cNvSpPr>
        </xdr:nvSpPr>
        <xdr:spPr>
          <a:xfrm flipH="1" flipV="1">
            <a:off x="384" y="-300"/>
            <a:ext cx="21" cy="3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383"/>
          <xdr:cNvSpPr>
            <a:spLocks noChangeAspect="1"/>
          </xdr:cNvSpPr>
        </xdr:nvSpPr>
        <xdr:spPr>
          <a:xfrm flipH="1" flipV="1">
            <a:off x="354" y="-282"/>
            <a:ext cx="21" cy="3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384"/>
          <xdr:cNvSpPr>
            <a:spLocks noChangeAspect="1"/>
          </xdr:cNvSpPr>
        </xdr:nvSpPr>
        <xdr:spPr>
          <a:xfrm flipH="1" flipV="1">
            <a:off x="325" y="-263"/>
            <a:ext cx="22" cy="3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385"/>
          <xdr:cNvSpPr>
            <a:spLocks noChangeAspect="1"/>
          </xdr:cNvSpPr>
        </xdr:nvSpPr>
        <xdr:spPr>
          <a:xfrm flipH="1" flipV="1">
            <a:off x="296" y="-244"/>
            <a:ext cx="22" cy="3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AutoShape 386"/>
          <xdr:cNvSpPr>
            <a:spLocks noChangeAspect="1"/>
          </xdr:cNvSpPr>
        </xdr:nvSpPr>
        <xdr:spPr>
          <a:xfrm flipH="1" flipV="1">
            <a:off x="238" y="-204"/>
            <a:ext cx="24" cy="3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AutoShape 387"/>
          <xdr:cNvSpPr>
            <a:spLocks noChangeAspect="1"/>
          </xdr:cNvSpPr>
        </xdr:nvSpPr>
        <xdr:spPr>
          <a:xfrm flipH="1" flipV="1">
            <a:off x="210" y="-183"/>
            <a:ext cx="24" cy="3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388"/>
          <xdr:cNvSpPr>
            <a:spLocks noChangeAspect="1"/>
          </xdr:cNvSpPr>
        </xdr:nvSpPr>
        <xdr:spPr>
          <a:xfrm flipH="1" flipV="1">
            <a:off x="183" y="-162"/>
            <a:ext cx="24" cy="3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389"/>
          <xdr:cNvSpPr>
            <a:spLocks noChangeAspect="1"/>
          </xdr:cNvSpPr>
        </xdr:nvSpPr>
        <xdr:spPr>
          <a:xfrm flipH="1" flipV="1">
            <a:off x="155" y="-140"/>
            <a:ext cx="26" cy="3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390"/>
          <xdr:cNvSpPr>
            <a:spLocks noChangeAspect="1"/>
          </xdr:cNvSpPr>
        </xdr:nvSpPr>
        <xdr:spPr>
          <a:xfrm flipH="1" flipV="1">
            <a:off x="102" y="-95"/>
            <a:ext cx="26" cy="3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391"/>
          <xdr:cNvSpPr>
            <a:spLocks noChangeAspect="1"/>
          </xdr:cNvSpPr>
        </xdr:nvSpPr>
        <xdr:spPr>
          <a:xfrm flipH="1" flipV="1">
            <a:off x="76" y="-72"/>
            <a:ext cx="27" cy="2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392"/>
          <xdr:cNvSpPr>
            <a:spLocks noChangeAspect="1"/>
          </xdr:cNvSpPr>
        </xdr:nvSpPr>
        <xdr:spPr>
          <a:xfrm flipH="1" flipV="1">
            <a:off x="50" y="-49"/>
            <a:ext cx="27" cy="3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393"/>
          <xdr:cNvSpPr>
            <a:spLocks noChangeAspect="1"/>
          </xdr:cNvSpPr>
        </xdr:nvSpPr>
        <xdr:spPr>
          <a:xfrm flipH="1" flipV="1">
            <a:off x="25" y="-25"/>
            <a:ext cx="27" cy="2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394"/>
          <xdr:cNvSpPr>
            <a:spLocks noChangeAspect="1"/>
          </xdr:cNvSpPr>
        </xdr:nvSpPr>
        <xdr:spPr>
          <a:xfrm flipH="1" flipV="1">
            <a:off x="-25" y="25"/>
            <a:ext cx="29" cy="2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395"/>
          <xdr:cNvSpPr>
            <a:spLocks noChangeAspect="1"/>
          </xdr:cNvSpPr>
        </xdr:nvSpPr>
        <xdr:spPr>
          <a:xfrm flipH="1" flipV="1">
            <a:off x="-49" y="50"/>
            <a:ext cx="30" cy="2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396"/>
          <xdr:cNvSpPr>
            <a:spLocks noChangeAspect="1"/>
          </xdr:cNvSpPr>
        </xdr:nvSpPr>
        <xdr:spPr>
          <a:xfrm flipH="1" flipV="1">
            <a:off x="-72" y="76"/>
            <a:ext cx="29" cy="2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397"/>
          <xdr:cNvSpPr>
            <a:spLocks noChangeAspect="1"/>
          </xdr:cNvSpPr>
        </xdr:nvSpPr>
        <xdr:spPr>
          <a:xfrm flipH="1" flipV="1">
            <a:off x="-95" y="102"/>
            <a:ext cx="30" cy="2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398"/>
          <xdr:cNvSpPr>
            <a:spLocks noChangeAspect="1"/>
          </xdr:cNvSpPr>
        </xdr:nvSpPr>
        <xdr:spPr>
          <a:xfrm flipH="1" flipV="1">
            <a:off x="-140" y="155"/>
            <a:ext cx="31" cy="2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AutoShape 399"/>
          <xdr:cNvSpPr>
            <a:spLocks noChangeAspect="1"/>
          </xdr:cNvSpPr>
        </xdr:nvSpPr>
        <xdr:spPr>
          <a:xfrm flipH="1" flipV="1">
            <a:off x="-162" y="183"/>
            <a:ext cx="31" cy="2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400"/>
          <xdr:cNvSpPr>
            <a:spLocks noChangeAspect="1"/>
          </xdr:cNvSpPr>
        </xdr:nvSpPr>
        <xdr:spPr>
          <a:xfrm flipH="1" flipV="1">
            <a:off x="-183" y="210"/>
            <a:ext cx="32" cy="2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401"/>
          <xdr:cNvSpPr>
            <a:spLocks noChangeAspect="1"/>
          </xdr:cNvSpPr>
        </xdr:nvSpPr>
        <xdr:spPr>
          <a:xfrm flipH="1" flipV="1">
            <a:off x="-204" y="238"/>
            <a:ext cx="32" cy="2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402"/>
          <xdr:cNvSpPr>
            <a:spLocks noChangeAspect="1"/>
          </xdr:cNvSpPr>
        </xdr:nvSpPr>
        <xdr:spPr>
          <a:xfrm flipH="1" flipV="1">
            <a:off x="-244" y="296"/>
            <a:ext cx="33" cy="2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403"/>
          <xdr:cNvSpPr>
            <a:spLocks noChangeAspect="1"/>
          </xdr:cNvSpPr>
        </xdr:nvSpPr>
        <xdr:spPr>
          <a:xfrm flipH="1" flipV="1">
            <a:off x="-263" y="325"/>
            <a:ext cx="33" cy="2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404"/>
          <xdr:cNvSpPr>
            <a:spLocks noChangeAspect="1"/>
          </xdr:cNvSpPr>
        </xdr:nvSpPr>
        <xdr:spPr>
          <a:xfrm flipH="1" flipV="1">
            <a:off x="-282" y="354"/>
            <a:ext cx="34" cy="2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AutoShape 405"/>
          <xdr:cNvSpPr>
            <a:spLocks noChangeAspect="1"/>
          </xdr:cNvSpPr>
        </xdr:nvSpPr>
        <xdr:spPr>
          <a:xfrm flipH="1" flipV="1">
            <a:off x="-300" y="384"/>
            <a:ext cx="34" cy="2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406"/>
          <xdr:cNvSpPr>
            <a:spLocks noChangeAspect="1"/>
          </xdr:cNvSpPr>
        </xdr:nvSpPr>
        <xdr:spPr>
          <a:xfrm flipH="1" flipV="1">
            <a:off x="-335" y="444"/>
            <a:ext cx="35" cy="2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AutoShape 407"/>
          <xdr:cNvSpPr>
            <a:spLocks noChangeAspect="1"/>
          </xdr:cNvSpPr>
        </xdr:nvSpPr>
        <xdr:spPr>
          <a:xfrm flipH="1" flipV="1">
            <a:off x="-352" y="475"/>
            <a:ext cx="35" cy="1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AutoShape 408"/>
          <xdr:cNvSpPr>
            <a:spLocks noChangeAspect="1"/>
          </xdr:cNvSpPr>
        </xdr:nvSpPr>
        <xdr:spPr>
          <a:xfrm flipH="1" flipV="1">
            <a:off x="-368" y="506"/>
            <a:ext cx="36" cy="1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409"/>
          <xdr:cNvSpPr>
            <a:spLocks noChangeAspect="1"/>
          </xdr:cNvSpPr>
        </xdr:nvSpPr>
        <xdr:spPr>
          <a:xfrm flipH="1" flipV="1">
            <a:off x="-384" y="537"/>
            <a:ext cx="36" cy="1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410"/>
          <xdr:cNvSpPr>
            <a:spLocks noChangeAspect="1"/>
          </xdr:cNvSpPr>
        </xdr:nvSpPr>
        <xdr:spPr>
          <a:xfrm flipH="1" flipV="1">
            <a:off x="-413" y="601"/>
            <a:ext cx="36" cy="1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411"/>
          <xdr:cNvSpPr>
            <a:spLocks noChangeAspect="1"/>
          </xdr:cNvSpPr>
        </xdr:nvSpPr>
        <xdr:spPr>
          <a:xfrm flipH="1" flipV="1">
            <a:off x="-427" y="633"/>
            <a:ext cx="37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AutoShape 412"/>
          <xdr:cNvSpPr>
            <a:spLocks noChangeAspect="1"/>
          </xdr:cNvSpPr>
        </xdr:nvSpPr>
        <xdr:spPr>
          <a:xfrm flipH="1" flipV="1">
            <a:off x="-440" y="665"/>
            <a:ext cx="37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AutoShape 413"/>
          <xdr:cNvSpPr>
            <a:spLocks noChangeAspect="1"/>
          </xdr:cNvSpPr>
        </xdr:nvSpPr>
        <xdr:spPr>
          <a:xfrm flipH="1" flipV="1">
            <a:off x="-453" y="697"/>
            <a:ext cx="37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414"/>
          <xdr:cNvSpPr>
            <a:spLocks noChangeAspect="1"/>
          </xdr:cNvSpPr>
        </xdr:nvSpPr>
        <xdr:spPr>
          <a:xfrm flipH="1" flipV="1">
            <a:off x="-477" y="763"/>
            <a:ext cx="38" cy="1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415"/>
          <xdr:cNvSpPr>
            <a:spLocks noChangeAspect="1"/>
          </xdr:cNvSpPr>
        </xdr:nvSpPr>
        <xdr:spPr>
          <a:xfrm flipH="1" flipV="1">
            <a:off x="-488" y="796"/>
            <a:ext cx="38" cy="1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416"/>
          <xdr:cNvSpPr>
            <a:spLocks noChangeAspect="1"/>
          </xdr:cNvSpPr>
        </xdr:nvSpPr>
        <xdr:spPr>
          <a:xfrm flipH="1" flipV="1">
            <a:off x="-499" y="829"/>
            <a:ext cx="39" cy="1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AutoShape 417"/>
          <xdr:cNvSpPr>
            <a:spLocks noChangeAspect="1"/>
          </xdr:cNvSpPr>
        </xdr:nvSpPr>
        <xdr:spPr>
          <a:xfrm flipH="1" flipV="1">
            <a:off x="-509" y="863"/>
            <a:ext cx="39" cy="1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418"/>
          <xdr:cNvSpPr>
            <a:spLocks noChangeAspect="1"/>
          </xdr:cNvSpPr>
        </xdr:nvSpPr>
        <xdr:spPr>
          <a:xfrm flipH="1" flipV="1">
            <a:off x="-527" y="930"/>
            <a:ext cx="39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419"/>
          <xdr:cNvSpPr>
            <a:spLocks noChangeAspect="1"/>
          </xdr:cNvSpPr>
        </xdr:nvSpPr>
        <xdr:spPr>
          <a:xfrm flipH="1" flipV="1">
            <a:off x="-535" y="964"/>
            <a:ext cx="39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AutoShape 420"/>
          <xdr:cNvSpPr>
            <a:spLocks noChangeAspect="1"/>
          </xdr:cNvSpPr>
        </xdr:nvSpPr>
        <xdr:spPr>
          <a:xfrm flipH="1" flipV="1">
            <a:off x="-542" y="998"/>
            <a:ext cx="39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AutoShape 421"/>
          <xdr:cNvSpPr>
            <a:spLocks noChangeAspect="1"/>
          </xdr:cNvSpPr>
        </xdr:nvSpPr>
        <xdr:spPr>
          <a:xfrm flipH="1" flipV="1">
            <a:off x="-549" y="1032"/>
            <a:ext cx="39" cy="8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422"/>
          <xdr:cNvSpPr>
            <a:spLocks noChangeAspect="1"/>
          </xdr:cNvSpPr>
        </xdr:nvSpPr>
        <xdr:spPr>
          <a:xfrm flipH="1" flipV="1">
            <a:off x="-561" y="1101"/>
            <a:ext cx="39" cy="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423"/>
          <xdr:cNvSpPr>
            <a:spLocks noChangeAspect="1"/>
          </xdr:cNvSpPr>
        </xdr:nvSpPr>
        <xdr:spPr>
          <a:xfrm flipH="1" flipV="1">
            <a:off x="-567" y="1136"/>
            <a:ext cx="4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AutoShape 424"/>
          <xdr:cNvSpPr>
            <a:spLocks noChangeAspect="1"/>
          </xdr:cNvSpPr>
        </xdr:nvSpPr>
        <xdr:spPr>
          <a:xfrm flipH="1" flipV="1">
            <a:off x="-571" y="1170"/>
            <a:ext cx="40" cy="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AutoShape 425"/>
          <xdr:cNvSpPr>
            <a:spLocks noChangeAspect="1"/>
          </xdr:cNvSpPr>
        </xdr:nvSpPr>
        <xdr:spPr>
          <a:xfrm flipH="1" flipV="1">
            <a:off x="-575" y="1205"/>
            <a:ext cx="40" cy="4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AutoShape 426"/>
          <xdr:cNvSpPr>
            <a:spLocks noChangeAspect="1"/>
          </xdr:cNvSpPr>
        </xdr:nvSpPr>
        <xdr:spPr>
          <a:xfrm flipH="1" flipV="1">
            <a:off x="-581" y="1274"/>
            <a:ext cx="40" cy="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AutoShape 427"/>
          <xdr:cNvSpPr>
            <a:spLocks noChangeAspect="1"/>
          </xdr:cNvSpPr>
        </xdr:nvSpPr>
        <xdr:spPr>
          <a:xfrm flipH="1" flipV="1">
            <a:off x="-583" y="1309"/>
            <a:ext cx="40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AutoShape 428"/>
          <xdr:cNvSpPr>
            <a:spLocks noChangeAspect="1"/>
          </xdr:cNvSpPr>
        </xdr:nvSpPr>
        <xdr:spPr>
          <a:xfrm flipH="1" flipV="1">
            <a:off x="-585" y="1344"/>
            <a:ext cx="40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AutoShape 429"/>
          <xdr:cNvSpPr>
            <a:spLocks noChangeAspect="1"/>
          </xdr:cNvSpPr>
        </xdr:nvSpPr>
        <xdr:spPr>
          <a:xfrm flipH="1" flipV="1">
            <a:off x="-586" y="1379"/>
            <a:ext cx="40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4:L31"/>
  <sheetViews>
    <sheetView showRowColHeaders="0" tabSelected="1" workbookViewId="0" topLeftCell="A1">
      <selection activeCell="K20" sqref="K20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2" ht="42.75" customHeight="1"/>
    <row r="3" ht="12.75"/>
    <row r="4" spans="2:12" ht="12.75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2:12" ht="12.75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2:12" ht="12.75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2:12" ht="12.75"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</row>
    <row r="8" spans="2:12" ht="12.75"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</row>
    <row r="9" spans="2:12" ht="12.75"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2:12" ht="12.75"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2:12" ht="12.75"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</row>
    <row r="12" spans="2:12" ht="12.75"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2:12" ht="12.75"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</row>
    <row r="14" spans="2:12" ht="12.75"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</row>
    <row r="15" spans="2:12" ht="12.75"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2:12" ht="12.75"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</row>
    <row r="17" spans="2:12" ht="12.75"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</row>
    <row r="18" spans="2:12" ht="12.75"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</row>
    <row r="19" spans="2:12" ht="12.75"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</row>
    <row r="20" spans="2:12" ht="12.75"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</row>
    <row r="21" spans="2:12" ht="12.75"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</row>
    <row r="22" spans="2:12" ht="12.75"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</row>
    <row r="23" spans="2:12" ht="12.75"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</row>
    <row r="24" spans="2:12" ht="12.75"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</row>
    <row r="25" spans="2:12" ht="12.75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</row>
    <row r="26" spans="2:12" ht="12.75"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</row>
    <row r="27" spans="2:12" ht="12.75"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</row>
    <row r="28" spans="2:12" ht="12.75"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</row>
    <row r="29" ht="12.75"/>
    <row r="30" spans="2:11" ht="12.75">
      <c r="B30" s="229" t="s">
        <v>59</v>
      </c>
      <c r="C30" s="229"/>
      <c r="D30" s="229"/>
      <c r="E30" s="229"/>
      <c r="I30" s="228" t="s">
        <v>60</v>
      </c>
      <c r="J30" s="228"/>
      <c r="K30" s="228"/>
    </row>
    <row r="31" spans="2:11" ht="12.75">
      <c r="B31" s="229"/>
      <c r="C31" s="229"/>
      <c r="D31" s="229"/>
      <c r="E31" s="229"/>
      <c r="I31" s="228"/>
      <c r="J31" s="228"/>
      <c r="K31" s="228"/>
    </row>
  </sheetData>
  <sheetProtection password="F523" sheet="1" objects="1" scenarios="1"/>
  <mergeCells count="2">
    <mergeCell ref="B30:E31"/>
    <mergeCell ref="I30:K3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BY515"/>
  <sheetViews>
    <sheetView showGridLines="0" showRowColHeaders="0" workbookViewId="0" topLeftCell="A1">
      <selection activeCell="O19" sqref="O19:O21"/>
    </sheetView>
  </sheetViews>
  <sheetFormatPr defaultColWidth="11.421875" defaultRowHeight="12.75"/>
  <cols>
    <col min="1" max="1" width="3.421875" style="13" customWidth="1"/>
    <col min="2" max="2" width="5.140625" style="13" customWidth="1"/>
    <col min="3" max="3" width="9.421875" style="13" customWidth="1"/>
    <col min="4" max="4" width="9.8515625" style="13" hidden="1" customWidth="1"/>
    <col min="5" max="6" width="11.421875" style="13" customWidth="1"/>
    <col min="7" max="7" width="9.7109375" style="13" customWidth="1"/>
    <col min="8" max="8" width="6.57421875" style="13" customWidth="1"/>
    <col min="9" max="9" width="19.57421875" style="13" customWidth="1"/>
    <col min="10" max="10" width="7.421875" style="13" customWidth="1"/>
    <col min="11" max="11" width="3.8515625" style="13" customWidth="1"/>
    <col min="12" max="12" width="4.57421875" style="13" customWidth="1"/>
    <col min="13" max="13" width="9.00390625" style="13" customWidth="1"/>
    <col min="14" max="14" width="11.421875" style="16" customWidth="1"/>
    <col min="15" max="15" width="21.140625" style="16" customWidth="1"/>
    <col min="16" max="17" width="11.421875" style="15" customWidth="1"/>
    <col min="18" max="18" width="11.421875" style="69" customWidth="1"/>
    <col min="19" max="20" width="11.421875" style="13" customWidth="1"/>
    <col min="21" max="21" width="11.421875" style="128" customWidth="1"/>
    <col min="22" max="16384" width="11.421875" style="13" customWidth="1"/>
  </cols>
  <sheetData>
    <row r="1" spans="2:77" s="114" customFormat="1" ht="24.75" customHeight="1">
      <c r="B1" s="119" t="s">
        <v>36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6"/>
      <c r="U1" s="126"/>
      <c r="AI1" s="116"/>
      <c r="AJ1" s="116"/>
      <c r="BX1" s="115">
        <v>1</v>
      </c>
      <c r="BY1" s="117">
        <f>3.1419/25</f>
        <v>0.125676</v>
      </c>
    </row>
    <row r="2" spans="3:50" s="5" customFormat="1" ht="3.75" customHeight="1" thickBot="1">
      <c r="C2" s="8"/>
      <c r="D2" s="9"/>
      <c r="E2" s="4"/>
      <c r="S2" s="5">
        <v>102</v>
      </c>
      <c r="U2" s="127"/>
      <c r="AB2" s="127"/>
      <c r="AI2" s="6"/>
      <c r="AJ2" s="2"/>
      <c r="AL2" s="3" t="s">
        <v>23</v>
      </c>
      <c r="AM2" s="10" t="s">
        <v>18</v>
      </c>
      <c r="AN2" s="10" t="s">
        <v>19</v>
      </c>
      <c r="AO2" s="10" t="s">
        <v>20</v>
      </c>
      <c r="AP2" s="10" t="s">
        <v>24</v>
      </c>
      <c r="AQ2" s="10" t="s">
        <v>21</v>
      </c>
      <c r="AR2" s="10" t="s">
        <v>25</v>
      </c>
      <c r="AS2" s="5" t="s">
        <v>12</v>
      </c>
      <c r="AT2" s="5" t="s">
        <v>13</v>
      </c>
      <c r="AU2" s="5" t="s">
        <v>26</v>
      </c>
      <c r="AV2" s="5" t="s">
        <v>15</v>
      </c>
      <c r="AW2" s="5" t="s">
        <v>16</v>
      </c>
      <c r="AX2" s="5" t="s">
        <v>22</v>
      </c>
    </row>
    <row r="3" spans="2:53" ht="19.5" customHeight="1">
      <c r="B3" s="97"/>
      <c r="C3" s="98"/>
      <c r="D3" s="98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1"/>
      <c r="P3" s="13"/>
      <c r="Q3" s="13"/>
      <c r="R3" s="200"/>
      <c r="S3" s="200"/>
      <c r="T3" s="200"/>
      <c r="U3" s="200"/>
      <c r="V3" s="200"/>
      <c r="W3" s="200"/>
      <c r="X3" s="200"/>
      <c r="Y3" s="200"/>
      <c r="Z3" s="200"/>
      <c r="AA3" s="201">
        <v>3</v>
      </c>
      <c r="AB3" s="202">
        <f>AA3*PI()/AA4</f>
        <v>1.3463968515384828</v>
      </c>
      <c r="AC3" s="200"/>
      <c r="AD3" s="200"/>
      <c r="AE3" s="200"/>
      <c r="AH3" s="13">
        <v>10</v>
      </c>
      <c r="AI3" s="15">
        <f>PI()/per</f>
        <v>0.3141592653589793</v>
      </c>
      <c r="AJ3" s="15"/>
      <c r="AK3" s="16"/>
      <c r="AL3" s="16"/>
      <c r="AM3" s="16" t="s">
        <v>17</v>
      </c>
      <c r="AN3" s="16" t="s">
        <v>10</v>
      </c>
      <c r="AO3" s="16" t="s">
        <v>11</v>
      </c>
      <c r="AP3" s="16" t="s">
        <v>14</v>
      </c>
      <c r="AQ3" s="16"/>
      <c r="AR3" s="16"/>
      <c r="BA3" s="17">
        <f>10/n</f>
        <v>4.285714285714286</v>
      </c>
    </row>
    <row r="4" spans="2:66" ht="21.75" customHeight="1" thickBot="1">
      <c r="B4" s="102"/>
      <c r="C4" s="103"/>
      <c r="D4" s="103"/>
      <c r="E4" s="96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13"/>
      <c r="Q4" s="13"/>
      <c r="R4" s="200"/>
      <c r="S4" s="200"/>
      <c r="T4" s="200"/>
      <c r="U4" s="200"/>
      <c r="V4" s="200"/>
      <c r="W4" s="200"/>
      <c r="X4" s="200"/>
      <c r="Y4" s="200"/>
      <c r="Z4" s="200"/>
      <c r="AA4" s="203">
        <v>7</v>
      </c>
      <c r="AB4" s="200"/>
      <c r="AC4" s="200"/>
      <c r="AD4" s="200"/>
      <c r="AE4" s="200"/>
      <c r="AF4" s="166"/>
      <c r="AG4" s="166"/>
      <c r="AH4" s="166"/>
      <c r="AI4" s="167"/>
      <c r="AJ4" s="167"/>
      <c r="AK4" s="111"/>
      <c r="AL4" s="111"/>
      <c r="AM4" s="111"/>
      <c r="AN4" s="111"/>
      <c r="AO4" s="111"/>
      <c r="AP4" s="111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8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</row>
    <row r="5" spans="2:66" ht="12.75" customHeight="1" thickBot="1">
      <c r="B5" s="106"/>
      <c r="C5" s="107"/>
      <c r="D5" s="107"/>
      <c r="E5" s="108"/>
      <c r="F5" s="109"/>
      <c r="G5" s="109"/>
      <c r="H5" s="109"/>
      <c r="I5" s="109"/>
      <c r="J5" s="109"/>
      <c r="K5" s="109"/>
      <c r="L5" s="109"/>
      <c r="M5" s="113">
        <f>AB8</f>
        <v>77.14285714285714</v>
      </c>
      <c r="N5" s="109"/>
      <c r="O5" s="110"/>
      <c r="P5" s="13"/>
      <c r="Q5" s="13"/>
      <c r="R5" s="200"/>
      <c r="S5" s="200"/>
      <c r="T5" s="200"/>
      <c r="U5" s="200"/>
      <c r="V5" s="200"/>
      <c r="W5" s="200"/>
      <c r="X5" s="204"/>
      <c r="Y5" s="200"/>
      <c r="Z5" s="200"/>
      <c r="AA5" s="200"/>
      <c r="AB5" s="200"/>
      <c r="AC5" s="200"/>
      <c r="AD5" s="200"/>
      <c r="AE5" s="200"/>
      <c r="AF5" s="166"/>
      <c r="AG5" s="166"/>
      <c r="AH5" s="166"/>
      <c r="AI5" s="167"/>
      <c r="AJ5" s="167"/>
      <c r="AK5" s="111"/>
      <c r="AL5" s="111"/>
      <c r="AM5" s="111"/>
      <c r="AN5" s="111"/>
      <c r="AO5" s="111"/>
      <c r="AP5" s="111"/>
      <c r="AQ5" s="111"/>
      <c r="AR5" s="111"/>
      <c r="AS5" s="111"/>
      <c r="AT5" s="166"/>
      <c r="AU5" s="166"/>
      <c r="AV5" s="166"/>
      <c r="AW5" s="166"/>
      <c r="AX5" s="166"/>
      <c r="AY5" s="166"/>
      <c r="AZ5" s="166"/>
      <c r="BA5" s="168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</row>
    <row r="6" spans="2:66" ht="409.5">
      <c r="B6" s="90"/>
      <c r="C6" s="87"/>
      <c r="D6" s="87"/>
      <c r="E6" s="85"/>
      <c r="F6" s="89"/>
      <c r="G6" s="89"/>
      <c r="H6" s="89"/>
      <c r="I6" s="89"/>
      <c r="J6" s="89"/>
      <c r="K6" s="89"/>
      <c r="L6" s="91"/>
      <c r="M6" s="152" t="s">
        <v>37</v>
      </c>
      <c r="N6" s="153"/>
      <c r="O6" s="154"/>
      <c r="P6" s="13"/>
      <c r="Q6" s="13"/>
      <c r="R6" s="200"/>
      <c r="S6" s="200"/>
      <c r="T6" s="205">
        <v>1</v>
      </c>
      <c r="U6" s="200"/>
      <c r="V6" s="200"/>
      <c r="W6" s="200"/>
      <c r="X6" s="200"/>
      <c r="Y6" s="200"/>
      <c r="Z6" s="200"/>
      <c r="AA6" s="200"/>
      <c r="AB6" s="200">
        <f>DEGREES(AB3)</f>
        <v>77.14285714285714</v>
      </c>
      <c r="AC6" s="200"/>
      <c r="AD6" s="200"/>
      <c r="AE6" s="200"/>
      <c r="AF6" s="166"/>
      <c r="AG6" s="166"/>
      <c r="AH6" s="166"/>
      <c r="AI6" s="167">
        <f>1*10</f>
        <v>10</v>
      </c>
      <c r="AJ6" s="167">
        <f>0*10</f>
        <v>0</v>
      </c>
      <c r="AK6" s="111"/>
      <c r="AL6" s="170"/>
      <c r="AM6" s="170"/>
      <c r="AN6" s="170"/>
      <c r="AO6" s="170"/>
      <c r="AP6" s="170"/>
      <c r="AQ6" s="170"/>
      <c r="AR6" s="170"/>
      <c r="AS6" s="111"/>
      <c r="AT6" s="166"/>
      <c r="AU6" s="166"/>
      <c r="AV6" s="166"/>
      <c r="AW6" s="166"/>
      <c r="AX6" s="166"/>
      <c r="AY6" s="166"/>
      <c r="AZ6" s="166"/>
      <c r="BA6" s="168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</row>
    <row r="7" spans="2:66" ht="12.75">
      <c r="B7" s="90"/>
      <c r="C7" s="87"/>
      <c r="D7" s="87"/>
      <c r="E7" s="87"/>
      <c r="F7" s="89"/>
      <c r="G7" s="89"/>
      <c r="H7" s="89"/>
      <c r="I7" s="89"/>
      <c r="J7" s="89"/>
      <c r="K7" s="89"/>
      <c r="L7" s="91"/>
      <c r="M7" s="155"/>
      <c r="N7" s="156"/>
      <c r="O7" s="157"/>
      <c r="P7" s="13"/>
      <c r="Q7" s="13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>
        <f>MOD(AB3,PI())</f>
        <v>1.3463968515384828</v>
      </c>
      <c r="AC7" s="200"/>
      <c r="AD7" s="200"/>
      <c r="AE7" s="200"/>
      <c r="AF7" s="166"/>
      <c r="AG7" s="166"/>
      <c r="AH7" s="166"/>
      <c r="AI7" s="171">
        <v>0</v>
      </c>
      <c r="AJ7" s="172">
        <v>0</v>
      </c>
      <c r="AK7" s="111"/>
      <c r="AL7" s="170"/>
      <c r="AM7" s="170"/>
      <c r="AN7" s="170"/>
      <c r="AO7" s="170"/>
      <c r="AP7" s="170"/>
      <c r="AQ7" s="170"/>
      <c r="AR7" s="170"/>
      <c r="AS7" s="111"/>
      <c r="AT7" s="166"/>
      <c r="AU7" s="166"/>
      <c r="AV7" s="166"/>
      <c r="AW7" s="166"/>
      <c r="AX7" s="166"/>
      <c r="AY7" s="166"/>
      <c r="AZ7" s="166"/>
      <c r="BA7" s="168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</row>
    <row r="8" spans="2:66" ht="12.75" customHeight="1">
      <c r="B8" s="90"/>
      <c r="C8" s="87"/>
      <c r="D8" s="87"/>
      <c r="E8" s="87"/>
      <c r="F8" s="89"/>
      <c r="G8" s="89"/>
      <c r="H8" s="89"/>
      <c r="I8" s="89"/>
      <c r="J8" s="89"/>
      <c r="K8" s="89"/>
      <c r="L8" s="91"/>
      <c r="M8" s="155"/>
      <c r="N8" s="156"/>
      <c r="O8" s="157"/>
      <c r="P8" s="13"/>
      <c r="Q8" s="13"/>
      <c r="R8" s="200"/>
      <c r="S8" s="200"/>
      <c r="T8" s="200"/>
      <c r="U8" s="200"/>
      <c r="V8" s="200">
        <f ca="1">RAND()*7</f>
        <v>4.276957802689299</v>
      </c>
      <c r="W8" s="200">
        <f>INT(V8)</f>
        <v>4</v>
      </c>
      <c r="X8" s="200"/>
      <c r="Y8" s="200"/>
      <c r="Z8" s="200"/>
      <c r="AA8" s="200"/>
      <c r="AB8" s="200">
        <f>DEGREES(AB7)</f>
        <v>77.14285714285714</v>
      </c>
      <c r="AC8" s="200"/>
      <c r="AD8" s="200"/>
      <c r="AE8" s="200"/>
      <c r="AF8" s="166"/>
      <c r="AG8" s="166"/>
      <c r="AH8" s="166"/>
      <c r="AI8" s="173">
        <f>(SQRT(3)/2)*10</f>
        <v>8.660254037844386</v>
      </c>
      <c r="AJ8" s="174">
        <f>0.5*10</f>
        <v>5</v>
      </c>
      <c r="AK8" s="111"/>
      <c r="AL8" s="170"/>
      <c r="AM8" s="170"/>
      <c r="AN8" s="170"/>
      <c r="AO8" s="170"/>
      <c r="AP8" s="170"/>
      <c r="AQ8" s="170"/>
      <c r="AR8" s="170"/>
      <c r="AS8" s="111"/>
      <c r="AT8" s="166"/>
      <c r="AU8" s="166"/>
      <c r="AV8" s="166"/>
      <c r="AW8" s="166"/>
      <c r="AX8" s="166"/>
      <c r="AY8" s="166"/>
      <c r="AZ8" s="166"/>
      <c r="BA8" s="168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</row>
    <row r="9" spans="2:66" ht="12.75" customHeight="1">
      <c r="B9" s="90"/>
      <c r="C9" s="87"/>
      <c r="D9" s="87"/>
      <c r="E9" s="87"/>
      <c r="F9" s="89"/>
      <c r="G9" s="89"/>
      <c r="H9" s="89"/>
      <c r="I9" s="89"/>
      <c r="J9" s="89"/>
      <c r="K9" s="89"/>
      <c r="L9" s="91"/>
      <c r="M9" s="155"/>
      <c r="N9" s="156"/>
      <c r="O9" s="157"/>
      <c r="P9" s="13"/>
      <c r="Q9" s="13"/>
      <c r="R9" s="200"/>
      <c r="S9" s="200"/>
      <c r="T9" s="200"/>
      <c r="U9" s="200"/>
      <c r="V9" s="200">
        <f ca="1">RAND()*9+1</f>
        <v>8.04811755778315</v>
      </c>
      <c r="W9" s="200">
        <f>IF(W8&gt;5,4,INT(V9))</f>
        <v>8</v>
      </c>
      <c r="X9" s="200"/>
      <c r="Y9" s="200"/>
      <c r="Z9" s="200"/>
      <c r="AA9" s="200"/>
      <c r="AB9" s="200"/>
      <c r="AC9" s="200"/>
      <c r="AD9" s="200"/>
      <c r="AE9" s="200"/>
      <c r="AF9" s="166"/>
      <c r="AG9" s="166"/>
      <c r="AH9" s="166"/>
      <c r="AI9" s="173">
        <f>0.5*10</f>
        <v>5</v>
      </c>
      <c r="AJ9" s="174">
        <f>(SQRT(3)/2)*10</f>
        <v>8.660254037844386</v>
      </c>
      <c r="AK9" s="111"/>
      <c r="AL9" s="170"/>
      <c r="AM9" s="170"/>
      <c r="AN9" s="170"/>
      <c r="AO9" s="170"/>
      <c r="AP9" s="170"/>
      <c r="AQ9" s="170"/>
      <c r="AR9" s="170"/>
      <c r="AS9" s="111"/>
      <c r="AT9" s="166"/>
      <c r="AU9" s="166"/>
      <c r="AV9" s="166"/>
      <c r="AW9" s="166"/>
      <c r="AX9" s="166"/>
      <c r="AY9" s="166"/>
      <c r="AZ9" s="166"/>
      <c r="BA9" s="168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</row>
    <row r="10" spans="2:66" ht="12.75" customHeight="1">
      <c r="B10" s="90"/>
      <c r="C10" s="87"/>
      <c r="D10" s="87"/>
      <c r="E10" s="87"/>
      <c r="F10" s="89"/>
      <c r="G10" s="89"/>
      <c r="H10" s="89"/>
      <c r="I10" s="89"/>
      <c r="J10" s="89"/>
      <c r="K10" s="89"/>
      <c r="L10" s="91"/>
      <c r="M10" s="155"/>
      <c r="N10" s="156"/>
      <c r="O10" s="157"/>
      <c r="P10" s="13"/>
      <c r="Q10" s="13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166"/>
      <c r="AG10" s="166"/>
      <c r="AH10" s="166"/>
      <c r="AI10" s="171">
        <v>0</v>
      </c>
      <c r="AJ10" s="171">
        <f>1*10</f>
        <v>10</v>
      </c>
      <c r="AK10" s="111"/>
      <c r="AL10" s="170"/>
      <c r="AM10" s="170"/>
      <c r="AN10" s="170"/>
      <c r="AO10" s="170"/>
      <c r="AP10" s="111"/>
      <c r="AQ10" s="111"/>
      <c r="AR10" s="111"/>
      <c r="AS10" s="111"/>
      <c r="AT10" s="166"/>
      <c r="AU10" s="166"/>
      <c r="AV10" s="166"/>
      <c r="AW10" s="166"/>
      <c r="AX10" s="166"/>
      <c r="AY10" s="166"/>
      <c r="AZ10" s="166"/>
      <c r="BA10" s="168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</row>
    <row r="11" spans="2:66" ht="12.75">
      <c r="B11" s="90"/>
      <c r="C11" s="87"/>
      <c r="D11" s="87"/>
      <c r="E11" s="87"/>
      <c r="F11" s="89"/>
      <c r="G11" s="89"/>
      <c r="H11" s="89"/>
      <c r="I11" s="89"/>
      <c r="J11" s="89"/>
      <c r="K11" s="89"/>
      <c r="L11" s="91"/>
      <c r="M11" s="155"/>
      <c r="N11" s="156"/>
      <c r="O11" s="157"/>
      <c r="P11" s="13"/>
      <c r="Q11" s="13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166"/>
      <c r="AG11" s="166"/>
      <c r="AH11" s="166"/>
      <c r="AI11" s="175">
        <f>-AI9</f>
        <v>-5</v>
      </c>
      <c r="AJ11" s="175">
        <f>AJ9</f>
        <v>8.660254037844386</v>
      </c>
      <c r="AK11" s="111"/>
      <c r="AL11" s="170"/>
      <c r="AM11" s="170"/>
      <c r="AN11" s="170"/>
      <c r="AO11" s="170"/>
      <c r="AP11" s="111"/>
      <c r="AQ11" s="111"/>
      <c r="AR11" s="111"/>
      <c r="AS11" s="111"/>
      <c r="AT11" s="166"/>
      <c r="AU11" s="166"/>
      <c r="AV11" s="166"/>
      <c r="AW11" s="166"/>
      <c r="AX11" s="166"/>
      <c r="AY11" s="166"/>
      <c r="AZ11" s="166"/>
      <c r="BA11" s="168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</row>
    <row r="12" spans="2:66" ht="12.75">
      <c r="B12" s="90"/>
      <c r="C12" s="87"/>
      <c r="D12" s="87"/>
      <c r="E12" s="87"/>
      <c r="F12" s="89"/>
      <c r="G12" s="89"/>
      <c r="H12" s="89"/>
      <c r="I12" s="89"/>
      <c r="J12" s="89"/>
      <c r="K12" s="89"/>
      <c r="L12" s="91"/>
      <c r="M12" s="155"/>
      <c r="N12" s="156"/>
      <c r="O12" s="157"/>
      <c r="P12" s="13"/>
      <c r="Q12" s="13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66"/>
      <c r="AG12" s="166"/>
      <c r="AH12" s="166"/>
      <c r="AI12" s="175">
        <f>-AI8</f>
        <v>-8.660254037844386</v>
      </c>
      <c r="AJ12" s="175">
        <f>AJ8</f>
        <v>5</v>
      </c>
      <c r="AK12" s="111"/>
      <c r="AL12" s="170"/>
      <c r="AM12" s="170"/>
      <c r="AN12" s="170"/>
      <c r="AO12" s="176"/>
      <c r="AP12" s="111"/>
      <c r="AQ12" s="111"/>
      <c r="AR12" s="111"/>
      <c r="AS12" s="111"/>
      <c r="AT12" s="166"/>
      <c r="AU12" s="166"/>
      <c r="AV12" s="166"/>
      <c r="AW12" s="166"/>
      <c r="AX12" s="166"/>
      <c r="AY12" s="166"/>
      <c r="AZ12" s="166"/>
      <c r="BA12" s="168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</row>
    <row r="13" spans="2:66" ht="12.75">
      <c r="B13" s="90"/>
      <c r="C13" s="87"/>
      <c r="D13" s="87"/>
      <c r="E13" s="87"/>
      <c r="F13" s="89"/>
      <c r="G13" s="89"/>
      <c r="H13" s="89"/>
      <c r="I13" s="89"/>
      <c r="J13" s="89"/>
      <c r="K13" s="89"/>
      <c r="L13" s="91"/>
      <c r="M13" s="155"/>
      <c r="N13" s="156"/>
      <c r="O13" s="157"/>
      <c r="P13" s="13"/>
      <c r="Q13" s="13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66"/>
      <c r="AG13" s="166"/>
      <c r="AH13" s="166"/>
      <c r="AI13" s="167">
        <v>-10</v>
      </c>
      <c r="AJ13" s="167">
        <v>0</v>
      </c>
      <c r="AK13" s="111"/>
      <c r="AL13" s="170"/>
      <c r="AM13" s="170"/>
      <c r="AN13" s="170"/>
      <c r="AO13" s="170"/>
      <c r="AP13" s="111"/>
      <c r="AQ13" s="111"/>
      <c r="AR13" s="111"/>
      <c r="AS13" s="111"/>
      <c r="AT13" s="166"/>
      <c r="AU13" s="166"/>
      <c r="AV13" s="166"/>
      <c r="AW13" s="166"/>
      <c r="AX13" s="166"/>
      <c r="AY13" s="166"/>
      <c r="AZ13" s="166"/>
      <c r="BA13" s="168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</row>
    <row r="14" spans="2:66" ht="12.75">
      <c r="B14" s="90"/>
      <c r="C14" s="87"/>
      <c r="D14" s="87"/>
      <c r="E14" s="87"/>
      <c r="F14" s="89"/>
      <c r="G14" s="89"/>
      <c r="H14" s="89"/>
      <c r="I14" s="89"/>
      <c r="J14" s="89"/>
      <c r="K14" s="89"/>
      <c r="L14" s="91"/>
      <c r="M14" s="155"/>
      <c r="N14" s="156"/>
      <c r="O14" s="157"/>
      <c r="P14" s="13"/>
      <c r="Q14" s="13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166"/>
      <c r="AG14" s="166"/>
      <c r="AH14" s="166"/>
      <c r="AI14" s="175">
        <f>AI12</f>
        <v>-8.660254037844386</v>
      </c>
      <c r="AJ14" s="175">
        <f>-AJ12</f>
        <v>-5</v>
      </c>
      <c r="AK14" s="111"/>
      <c r="AL14" s="170"/>
      <c r="AM14" s="170"/>
      <c r="AN14" s="170"/>
      <c r="AO14" s="170"/>
      <c r="AP14" s="111"/>
      <c r="AQ14" s="111"/>
      <c r="AR14" s="111"/>
      <c r="AS14" s="111"/>
      <c r="AT14" s="166"/>
      <c r="AU14" s="166"/>
      <c r="AV14" s="166"/>
      <c r="AW14" s="166"/>
      <c r="AX14" s="166"/>
      <c r="AY14" s="166"/>
      <c r="AZ14" s="166"/>
      <c r="BA14" s="168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</row>
    <row r="15" spans="2:66" ht="12.75">
      <c r="B15" s="90"/>
      <c r="C15" s="87"/>
      <c r="D15" s="87"/>
      <c r="E15" s="87"/>
      <c r="F15" s="89"/>
      <c r="G15" s="89"/>
      <c r="H15" s="89"/>
      <c r="I15" s="89"/>
      <c r="J15" s="89"/>
      <c r="K15" s="89"/>
      <c r="L15" s="91"/>
      <c r="M15" s="155"/>
      <c r="N15" s="156"/>
      <c r="O15" s="157"/>
      <c r="P15" s="13"/>
      <c r="Q15" s="13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166"/>
      <c r="AG15" s="166"/>
      <c r="AH15" s="166"/>
      <c r="AI15" s="175">
        <f>AI11</f>
        <v>-5</v>
      </c>
      <c r="AJ15" s="175">
        <f>-AJ11</f>
        <v>-8.660254037844386</v>
      </c>
      <c r="AK15" s="111"/>
      <c r="AL15" s="111"/>
      <c r="AM15" s="111"/>
      <c r="AN15" s="111"/>
      <c r="AO15" s="111"/>
      <c r="AP15" s="111"/>
      <c r="AQ15" s="111"/>
      <c r="AR15" s="111"/>
      <c r="AS15" s="111"/>
      <c r="AT15" s="166"/>
      <c r="AU15" s="166"/>
      <c r="AV15" s="166"/>
      <c r="AW15" s="166"/>
      <c r="AX15" s="166"/>
      <c r="AY15" s="166"/>
      <c r="AZ15" s="166"/>
      <c r="BA15" s="168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</row>
    <row r="16" spans="2:66" ht="12.75">
      <c r="B16" s="90"/>
      <c r="C16" s="87"/>
      <c r="D16" s="87"/>
      <c r="E16" s="87"/>
      <c r="F16" s="89"/>
      <c r="G16" s="89"/>
      <c r="H16" s="89"/>
      <c r="I16" s="89"/>
      <c r="J16" s="89"/>
      <c r="K16" s="89"/>
      <c r="L16" s="91"/>
      <c r="M16" s="155"/>
      <c r="N16" s="156"/>
      <c r="O16" s="157"/>
      <c r="P16" s="13"/>
      <c r="Q16" s="13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166"/>
      <c r="AG16" s="166"/>
      <c r="AH16" s="166"/>
      <c r="AI16" s="167">
        <v>0</v>
      </c>
      <c r="AJ16" s="167">
        <v>-1</v>
      </c>
      <c r="AK16" s="111"/>
      <c r="AL16" s="111"/>
      <c r="AM16" s="111"/>
      <c r="AN16" s="111"/>
      <c r="AO16" s="111"/>
      <c r="AP16" s="111"/>
      <c r="AQ16" s="111"/>
      <c r="AR16" s="111"/>
      <c r="AS16" s="111"/>
      <c r="AT16" s="166"/>
      <c r="AU16" s="166"/>
      <c r="AV16" s="166"/>
      <c r="AW16" s="166"/>
      <c r="AX16" s="166"/>
      <c r="AY16" s="166"/>
      <c r="AZ16" s="166"/>
      <c r="BA16" s="168">
        <f aca="true" t="shared" si="0" ref="BA16:BA24">BA15+pas</f>
        <v>0.3141592653589793</v>
      </c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</row>
    <row r="17" spans="2:66" ht="12.75">
      <c r="B17" s="90"/>
      <c r="C17" s="87"/>
      <c r="D17" s="87"/>
      <c r="E17" s="87"/>
      <c r="F17" s="89"/>
      <c r="G17" s="89"/>
      <c r="H17" s="89"/>
      <c r="I17" s="89"/>
      <c r="J17" s="89"/>
      <c r="K17" s="89"/>
      <c r="L17" s="91"/>
      <c r="M17" s="155"/>
      <c r="N17" s="156"/>
      <c r="O17" s="157"/>
      <c r="P17" s="13"/>
      <c r="Q17" s="13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166"/>
      <c r="AG17" s="166"/>
      <c r="AH17" s="166"/>
      <c r="AI17" s="175">
        <f>AI9</f>
        <v>5</v>
      </c>
      <c r="AJ17" s="175">
        <f>AJ15</f>
        <v>-8.660254037844386</v>
      </c>
      <c r="AK17" s="111"/>
      <c r="AL17" s="111"/>
      <c r="AM17" s="111"/>
      <c r="AN17" s="111"/>
      <c r="AO17" s="111"/>
      <c r="AP17" s="111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8">
        <f t="shared" si="0"/>
        <v>0.6283185307179586</v>
      </c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</row>
    <row r="18" spans="2:66" ht="13.5" thickBot="1">
      <c r="B18" s="90"/>
      <c r="C18" s="87"/>
      <c r="D18" s="87"/>
      <c r="E18" s="87"/>
      <c r="F18" s="89"/>
      <c r="G18" s="89"/>
      <c r="H18" s="89"/>
      <c r="I18" s="89"/>
      <c r="J18" s="89"/>
      <c r="K18" s="89"/>
      <c r="L18" s="91"/>
      <c r="M18" s="158"/>
      <c r="N18" s="159"/>
      <c r="O18" s="160"/>
      <c r="P18" s="13"/>
      <c r="Q18" s="13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166"/>
      <c r="AG18" s="166"/>
      <c r="AH18" s="166"/>
      <c r="AI18" s="175">
        <f>AI8</f>
        <v>8.660254037844386</v>
      </c>
      <c r="AJ18" s="175">
        <f>AJ14</f>
        <v>-5</v>
      </c>
      <c r="AK18" s="111"/>
      <c r="AL18" s="111"/>
      <c r="AM18" s="111"/>
      <c r="AN18" s="111"/>
      <c r="AO18" s="111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8">
        <f t="shared" si="0"/>
        <v>0.9424777960769379</v>
      </c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</row>
    <row r="19" spans="2:66" ht="18">
      <c r="B19" s="90"/>
      <c r="C19" s="87"/>
      <c r="D19" s="87"/>
      <c r="E19" s="87"/>
      <c r="F19" s="89"/>
      <c r="G19" s="89"/>
      <c r="H19" s="89"/>
      <c r="I19" s="89"/>
      <c r="J19" s="89"/>
      <c r="K19" s="89"/>
      <c r="L19" s="91"/>
      <c r="M19" s="120" t="s">
        <v>35</v>
      </c>
      <c r="N19" s="122"/>
      <c r="O19" s="146"/>
      <c r="P19" s="13"/>
      <c r="Q19" s="13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166"/>
      <c r="AG19" s="166"/>
      <c r="AH19" s="166"/>
      <c r="AI19" s="167"/>
      <c r="AJ19" s="167"/>
      <c r="AK19" s="111"/>
      <c r="AL19" s="111"/>
      <c r="AM19" s="111"/>
      <c r="AN19" s="111"/>
      <c r="AO19" s="111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8">
        <f t="shared" si="0"/>
        <v>1.2566370614359172</v>
      </c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</row>
    <row r="20" spans="2:66" ht="18">
      <c r="B20" s="90"/>
      <c r="C20" s="87"/>
      <c r="D20" s="87"/>
      <c r="E20" s="87"/>
      <c r="F20" s="89"/>
      <c r="G20" s="89"/>
      <c r="H20" s="89"/>
      <c r="I20" s="89"/>
      <c r="J20" s="89"/>
      <c r="K20" s="89"/>
      <c r="L20" s="91"/>
      <c r="M20" s="121"/>
      <c r="N20" s="123"/>
      <c r="O20" s="147"/>
      <c r="P20" s="13"/>
      <c r="Q20" s="13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166"/>
      <c r="AG20" s="166"/>
      <c r="AH20" s="166"/>
      <c r="AI20" s="167">
        <f>(SQRT(2)/2)*10</f>
        <v>7.0710678118654755</v>
      </c>
      <c r="AJ20" s="167">
        <f>(SQRT(2)/2)*10</f>
        <v>7.0710678118654755</v>
      </c>
      <c r="AK20" s="111"/>
      <c r="AL20" s="111"/>
      <c r="AM20" s="111"/>
      <c r="AN20" s="111"/>
      <c r="AO20" s="111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8">
        <f t="shared" si="0"/>
        <v>1.5707963267948966</v>
      </c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</row>
    <row r="21" spans="2:66" ht="18.75" thickBot="1">
      <c r="B21" s="90"/>
      <c r="C21" s="87"/>
      <c r="D21" s="87"/>
      <c r="E21" s="87"/>
      <c r="F21" s="89"/>
      <c r="G21" s="89"/>
      <c r="H21" s="89"/>
      <c r="I21" s="89"/>
      <c r="J21" s="89"/>
      <c r="K21" s="89"/>
      <c r="L21" s="91"/>
      <c r="M21" s="124"/>
      <c r="N21" s="125"/>
      <c r="O21" s="148"/>
      <c r="P21" s="13"/>
      <c r="Q21" s="13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166"/>
      <c r="AG21" s="166"/>
      <c r="AH21" s="166"/>
      <c r="AI21" s="167">
        <f>(-SQRT(2)/2)*10</f>
        <v>-7.0710678118654755</v>
      </c>
      <c r="AJ21" s="167">
        <f>(SQRT(2)/2)*10</f>
        <v>7.0710678118654755</v>
      </c>
      <c r="AK21" s="111"/>
      <c r="AL21" s="111"/>
      <c r="AM21" s="111"/>
      <c r="AN21" s="111"/>
      <c r="AO21" s="111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8">
        <f t="shared" si="0"/>
        <v>1.8849555921538759</v>
      </c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</row>
    <row r="22" spans="2:66" ht="18" customHeight="1" thickBot="1">
      <c r="B22" s="90"/>
      <c r="C22" s="87"/>
      <c r="D22" s="87"/>
      <c r="E22" s="87"/>
      <c r="F22" s="89"/>
      <c r="G22" s="89"/>
      <c r="H22" s="89"/>
      <c r="I22" s="89"/>
      <c r="J22" s="89"/>
      <c r="K22" s="89"/>
      <c r="L22" s="91"/>
      <c r="M22" s="150" t="s">
        <v>45</v>
      </c>
      <c r="N22" s="151"/>
      <c r="O22" s="149">
        <f>IF(O19="","",IF(O19=O24,"Exact","Faux"))</f>
      </c>
      <c r="P22" s="13"/>
      <c r="Q22" s="13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166"/>
      <c r="AG22" s="166"/>
      <c r="AH22" s="166"/>
      <c r="AI22" s="167">
        <f>(-SQRT(2)/2)*10</f>
        <v>-7.0710678118654755</v>
      </c>
      <c r="AJ22" s="167">
        <f>(-SQRT(2)/2)*10</f>
        <v>-7.0710678118654755</v>
      </c>
      <c r="AK22" s="111"/>
      <c r="AL22" s="111"/>
      <c r="AM22" s="111"/>
      <c r="AN22" s="111"/>
      <c r="AO22" s="111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8">
        <f t="shared" si="0"/>
        <v>2.199114857512855</v>
      </c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</row>
    <row r="23" spans="2:66" ht="12.75">
      <c r="B23" s="90"/>
      <c r="C23" s="87"/>
      <c r="D23" s="87"/>
      <c r="E23" s="87"/>
      <c r="F23" s="89"/>
      <c r="G23" s="89"/>
      <c r="H23" s="89"/>
      <c r="I23" s="89"/>
      <c r="J23" s="89"/>
      <c r="K23" s="89"/>
      <c r="L23" s="91"/>
      <c r="M23" s="97"/>
      <c r="N23" s="100"/>
      <c r="O23" s="101"/>
      <c r="P23" s="13"/>
      <c r="Q23" s="13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166"/>
      <c r="AG23" s="166"/>
      <c r="AH23" s="166"/>
      <c r="AI23" s="167">
        <f>(SQRT(2)/2)*10</f>
        <v>7.0710678118654755</v>
      </c>
      <c r="AJ23" s="167">
        <f>(-SQRT(2)/2)*10</f>
        <v>-7.0710678118654755</v>
      </c>
      <c r="AK23" s="111"/>
      <c r="AL23" s="111"/>
      <c r="AM23" s="111"/>
      <c r="AN23" s="111"/>
      <c r="AO23" s="111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8">
        <f t="shared" si="0"/>
        <v>2.5132741228718345</v>
      </c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</row>
    <row r="24" spans="2:66" ht="15.75">
      <c r="B24" s="90"/>
      <c r="C24" s="87"/>
      <c r="D24" s="87"/>
      <c r="E24" s="87"/>
      <c r="F24" s="89"/>
      <c r="G24" s="89"/>
      <c r="H24" s="89"/>
      <c r="I24" s="89"/>
      <c r="J24" s="89"/>
      <c r="K24" s="89"/>
      <c r="L24" s="91"/>
      <c r="M24" s="102"/>
      <c r="N24" s="104"/>
      <c r="O24" s="162">
        <f>INT(AB6)</f>
        <v>77</v>
      </c>
      <c r="P24" s="13"/>
      <c r="R24" s="206" t="s">
        <v>7</v>
      </c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177"/>
      <c r="AG24" s="166"/>
      <c r="AH24" s="166"/>
      <c r="AI24" s="167"/>
      <c r="AJ24" s="167"/>
      <c r="AK24" s="111"/>
      <c r="AL24" s="111"/>
      <c r="AM24" s="111"/>
      <c r="AN24" s="111"/>
      <c r="AO24" s="111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8">
        <f t="shared" si="0"/>
        <v>2.827433388230814</v>
      </c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</row>
    <row r="25" spans="2:66" ht="12.75">
      <c r="B25" s="90"/>
      <c r="C25" s="86"/>
      <c r="D25" s="87"/>
      <c r="E25" s="88"/>
      <c r="F25" s="89"/>
      <c r="G25" s="89"/>
      <c r="H25" s="89"/>
      <c r="I25" s="89"/>
      <c r="J25" s="89"/>
      <c r="K25" s="89"/>
      <c r="L25" s="91"/>
      <c r="M25" s="102"/>
      <c r="N25" s="161"/>
      <c r="O25" s="105"/>
      <c r="P25" s="13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177"/>
      <c r="AG25" s="166"/>
      <c r="AH25" s="166"/>
      <c r="AI25" s="168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</row>
    <row r="26" spans="2:66" ht="12.75">
      <c r="B26" s="90"/>
      <c r="C26" s="86"/>
      <c r="D26" s="87"/>
      <c r="E26" s="88"/>
      <c r="F26" s="89"/>
      <c r="G26" s="89"/>
      <c r="H26" s="89"/>
      <c r="I26" s="89"/>
      <c r="J26" s="89"/>
      <c r="K26" s="89"/>
      <c r="L26" s="91"/>
      <c r="M26" s="102"/>
      <c r="N26" s="104"/>
      <c r="O26" s="105"/>
      <c r="P26" s="13"/>
      <c r="R26" s="208" t="s">
        <v>2</v>
      </c>
      <c r="S26" s="209">
        <v>0.75</v>
      </c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177"/>
      <c r="AG26" s="166"/>
      <c r="AH26" s="166"/>
      <c r="AI26" s="168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</row>
    <row r="27" spans="2:66" ht="12.75" customHeight="1">
      <c r="B27" s="90"/>
      <c r="C27" s="87"/>
      <c r="D27" s="87"/>
      <c r="E27" s="87"/>
      <c r="F27" s="89"/>
      <c r="G27" s="89"/>
      <c r="H27" s="89"/>
      <c r="I27" s="89"/>
      <c r="J27" s="89"/>
      <c r="K27" s="89"/>
      <c r="L27" s="91"/>
      <c r="M27" s="102"/>
      <c r="N27" s="104"/>
      <c r="O27" s="105"/>
      <c r="P27" s="13"/>
      <c r="R27" s="208" t="s">
        <v>6</v>
      </c>
      <c r="S27" s="210">
        <v>18</v>
      </c>
      <c r="T27" s="211">
        <f>S27/180*PI()</f>
        <v>0.3141592653589793</v>
      </c>
      <c r="U27" s="207"/>
      <c r="V27" s="207"/>
      <c r="W27" s="207"/>
      <c r="X27" s="207"/>
      <c r="Y27" s="207"/>
      <c r="Z27" s="212" t="s">
        <v>4</v>
      </c>
      <c r="AA27" s="212"/>
      <c r="AB27" s="212"/>
      <c r="AC27" s="212" t="s">
        <v>5</v>
      </c>
      <c r="AD27" s="212"/>
      <c r="AE27" s="212"/>
      <c r="AF27" s="177"/>
      <c r="AG27" s="166"/>
      <c r="AH27" s="166"/>
      <c r="AI27" s="168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</row>
    <row r="28" spans="2:66" ht="14.25">
      <c r="B28" s="90"/>
      <c r="C28" s="87"/>
      <c r="D28" s="87"/>
      <c r="E28" s="87"/>
      <c r="F28" s="89"/>
      <c r="G28" s="89"/>
      <c r="H28" s="89"/>
      <c r="I28" s="89"/>
      <c r="J28" s="89"/>
      <c r="K28" s="89"/>
      <c r="L28" s="91"/>
      <c r="M28" s="102"/>
      <c r="N28" s="104"/>
      <c r="O28" s="105"/>
      <c r="P28" s="13"/>
      <c r="R28" s="207"/>
      <c r="S28" s="207"/>
      <c r="T28" s="207"/>
      <c r="U28" s="213" t="s">
        <v>46</v>
      </c>
      <c r="V28" s="214">
        <v>0</v>
      </c>
      <c r="W28" s="215">
        <v>0</v>
      </c>
      <c r="X28" s="213" t="s">
        <v>3</v>
      </c>
      <c r="Y28" s="207"/>
      <c r="Z28" s="212"/>
      <c r="AA28" s="212"/>
      <c r="AB28" s="212"/>
      <c r="AC28" s="212"/>
      <c r="AD28" s="212"/>
      <c r="AE28" s="212"/>
      <c r="AF28" s="177"/>
      <c r="AG28" s="166"/>
      <c r="AH28" s="166"/>
      <c r="AI28" s="168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</row>
    <row r="29" spans="2:66" s="5" customFormat="1" ht="14.25">
      <c r="B29" s="90"/>
      <c r="C29" s="87"/>
      <c r="D29" s="87"/>
      <c r="E29" s="87"/>
      <c r="F29" s="87"/>
      <c r="G29" s="87"/>
      <c r="H29" s="87"/>
      <c r="I29" s="89"/>
      <c r="J29" s="89"/>
      <c r="K29" s="89"/>
      <c r="L29" s="91"/>
      <c r="M29" s="102"/>
      <c r="N29" s="161"/>
      <c r="O29" s="163"/>
      <c r="P29" s="6"/>
      <c r="Q29" s="6"/>
      <c r="R29" s="216" t="s">
        <v>47</v>
      </c>
      <c r="S29" s="217">
        <f>I151</f>
        <v>4.4504186791262885</v>
      </c>
      <c r="T29" s="218">
        <f>J151</f>
        <v>19.498558243636474</v>
      </c>
      <c r="U29" s="216" t="s">
        <v>48</v>
      </c>
      <c r="V29" s="217">
        <f aca="true" t="shared" si="1" ref="V29:W34">V28+S29</f>
        <v>4.4504186791262885</v>
      </c>
      <c r="W29" s="218">
        <f t="shared" si="1"/>
        <v>19.498558243636474</v>
      </c>
      <c r="X29" s="216">
        <f aca="true" t="shared" si="2" ref="X29:X34">SQRT(S29*S29+T29*T29)</f>
        <v>20</v>
      </c>
      <c r="Y29" s="219"/>
      <c r="Z29" s="219">
        <f aca="true" t="shared" si="3" ref="Z29:Z34">IF(AND(S29=0,T29=0),0,(lf*(-S29*COS(angf)+T29*SIN(angf)))/X29+V29)</f>
        <v>4.517648160803864</v>
      </c>
      <c r="AA29" s="219">
        <f aca="true" t="shared" si="4" ref="AA29:AA34">IF(AND(S29=0,T29=0),0,V29)</f>
        <v>4.4504186791262885</v>
      </c>
      <c r="AB29" s="219">
        <f aca="true" t="shared" si="5" ref="AB29:AB34">IF(AND(S29=0,T29=0),0,lf*(-S29*COS(angf)-T29*SIN(angf))/X29+V29)</f>
        <v>4.065744221071859</v>
      </c>
      <c r="AC29" s="219">
        <f aca="true" t="shared" si="6" ref="AC29:AC34">IF(AND(S29=0,T29=0),0,(lf*(-T29*COS(angf)-S29*SIN(angf)))/X29+W29)</f>
        <v>18.751577523140043</v>
      </c>
      <c r="AD29" s="219">
        <f aca="true" t="shared" si="7" ref="AD29:AD34">IF(AND(S29=0,T29=0),0,W29)</f>
        <v>19.498558243636474</v>
      </c>
      <c r="AE29" s="219">
        <f aca="true" t="shared" si="8" ref="AE29:AE34">IF(AND(S29=0,T29=0),0,lf*(-T29*COS(angf)+S29*SIN(angf))/X29+W29)</f>
        <v>18.854721648435074</v>
      </c>
      <c r="AF29" s="178"/>
      <c r="AG29" s="179"/>
      <c r="AH29" s="179"/>
      <c r="AI29" s="180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</row>
    <row r="30" spans="2:66" s="5" customFormat="1" ht="14.25">
      <c r="B30" s="90"/>
      <c r="C30" s="87"/>
      <c r="D30" s="87"/>
      <c r="E30" s="87"/>
      <c r="F30" s="87"/>
      <c r="G30" s="87"/>
      <c r="H30" s="87"/>
      <c r="I30" s="89"/>
      <c r="J30" s="89"/>
      <c r="K30" s="89"/>
      <c r="L30" s="91"/>
      <c r="M30" s="102"/>
      <c r="N30" s="161"/>
      <c r="O30" s="163"/>
      <c r="P30" s="6"/>
      <c r="Q30" s="6"/>
      <c r="R30" s="216" t="s">
        <v>49</v>
      </c>
      <c r="S30" s="217">
        <v>2</v>
      </c>
      <c r="T30" s="218">
        <v>-7</v>
      </c>
      <c r="U30" s="216" t="s">
        <v>50</v>
      </c>
      <c r="V30" s="217">
        <v>0</v>
      </c>
      <c r="W30" s="218">
        <v>0</v>
      </c>
      <c r="X30" s="216">
        <f t="shared" si="2"/>
        <v>7.280109889280518</v>
      </c>
      <c r="Y30" s="219"/>
      <c r="Z30" s="219">
        <f t="shared" si="3"/>
        <v>-0.41880191937769284</v>
      </c>
      <c r="AA30" s="219">
        <f t="shared" si="4"/>
        <v>0</v>
      </c>
      <c r="AB30" s="219">
        <f t="shared" si="5"/>
        <v>0.026888941101559333</v>
      </c>
      <c r="AC30" s="219">
        <f t="shared" si="6"/>
        <v>0.6221775890576262</v>
      </c>
      <c r="AD30" s="219">
        <f t="shared" si="7"/>
        <v>0</v>
      </c>
      <c r="AE30" s="219">
        <f t="shared" si="8"/>
        <v>0.7495178349088412</v>
      </c>
      <c r="AF30" s="178"/>
      <c r="AG30" s="179"/>
      <c r="AH30" s="179"/>
      <c r="AI30" s="180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</row>
    <row r="31" spans="2:66" s="5" customFormat="1" ht="14.25">
      <c r="B31" s="90"/>
      <c r="C31" s="87"/>
      <c r="D31" s="87"/>
      <c r="E31" s="87"/>
      <c r="F31" s="87"/>
      <c r="G31" s="87"/>
      <c r="H31" s="87"/>
      <c r="I31" s="89"/>
      <c r="J31" s="89"/>
      <c r="K31" s="89"/>
      <c r="L31" s="91"/>
      <c r="M31" s="102"/>
      <c r="N31" s="161"/>
      <c r="O31" s="163"/>
      <c r="P31" s="6"/>
      <c r="Q31" s="6"/>
      <c r="R31" s="216" t="s">
        <v>51</v>
      </c>
      <c r="S31" s="217">
        <f>I152</f>
        <v>10</v>
      </c>
      <c r="T31" s="218">
        <f>J152</f>
        <v>0</v>
      </c>
      <c r="U31" s="216" t="s">
        <v>52</v>
      </c>
      <c r="V31" s="217">
        <f t="shared" si="1"/>
        <v>10</v>
      </c>
      <c r="W31" s="218">
        <f t="shared" si="1"/>
        <v>0</v>
      </c>
      <c r="X31" s="216">
        <f t="shared" si="2"/>
        <v>10</v>
      </c>
      <c r="Y31" s="219"/>
      <c r="Z31" s="219">
        <f t="shared" si="3"/>
        <v>9.286707612778635</v>
      </c>
      <c r="AA31" s="219">
        <f t="shared" si="4"/>
        <v>10</v>
      </c>
      <c r="AB31" s="219">
        <f t="shared" si="5"/>
        <v>9.286707612778635</v>
      </c>
      <c r="AC31" s="219">
        <f t="shared" si="6"/>
        <v>-0.23176274578121053</v>
      </c>
      <c r="AD31" s="219">
        <f t="shared" si="7"/>
        <v>0</v>
      </c>
      <c r="AE31" s="219">
        <f t="shared" si="8"/>
        <v>0.23176274578121053</v>
      </c>
      <c r="AF31" s="178"/>
      <c r="AG31" s="179"/>
      <c r="AH31" s="179"/>
      <c r="AI31" s="180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</row>
    <row r="32" spans="2:66" s="5" customFormat="1" ht="14.25">
      <c r="B32" s="90"/>
      <c r="C32" s="87"/>
      <c r="D32" s="87"/>
      <c r="E32" s="87"/>
      <c r="F32" s="87"/>
      <c r="G32" s="87"/>
      <c r="H32" s="87"/>
      <c r="I32" s="89"/>
      <c r="J32" s="89"/>
      <c r="K32" s="89"/>
      <c r="L32" s="91"/>
      <c r="M32" s="102"/>
      <c r="N32" s="161"/>
      <c r="O32" s="163"/>
      <c r="P32" s="6"/>
      <c r="Q32" s="6"/>
      <c r="R32" s="216" t="s">
        <v>53</v>
      </c>
      <c r="S32" s="217">
        <v>-10</v>
      </c>
      <c r="T32" s="218">
        <v>-3</v>
      </c>
      <c r="U32" s="216" t="s">
        <v>54</v>
      </c>
      <c r="V32" s="217">
        <f t="shared" si="1"/>
        <v>0</v>
      </c>
      <c r="W32" s="218">
        <f t="shared" si="1"/>
        <v>-3</v>
      </c>
      <c r="X32" s="216">
        <f t="shared" si="2"/>
        <v>10.44030650891055</v>
      </c>
      <c r="Y32" s="219"/>
      <c r="Z32" s="219">
        <f t="shared" si="3"/>
        <v>0.6166136625754859</v>
      </c>
      <c r="AA32" s="219">
        <f t="shared" si="4"/>
        <v>0</v>
      </c>
      <c r="AB32" s="219">
        <f t="shared" si="5"/>
        <v>0.7498067324820484</v>
      </c>
      <c r="AC32" s="219">
        <f t="shared" si="6"/>
        <v>-2.573048490897099</v>
      </c>
      <c r="AD32" s="219">
        <f t="shared" si="7"/>
        <v>-3</v>
      </c>
      <c r="AE32" s="219">
        <f t="shared" si="8"/>
        <v>-3.017025390585641</v>
      </c>
      <c r="AF32" s="178"/>
      <c r="AG32" s="179"/>
      <c r="AH32" s="179"/>
      <c r="AI32" s="180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</row>
    <row r="33" spans="2:66" s="5" customFormat="1" ht="15" thickBot="1">
      <c r="B33" s="92"/>
      <c r="C33" s="93"/>
      <c r="D33" s="93"/>
      <c r="E33" s="93"/>
      <c r="F33" s="93"/>
      <c r="G33" s="93"/>
      <c r="H33" s="93"/>
      <c r="I33" s="94"/>
      <c r="J33" s="94"/>
      <c r="K33" s="94"/>
      <c r="L33" s="95"/>
      <c r="M33" s="106"/>
      <c r="N33" s="164"/>
      <c r="O33" s="165"/>
      <c r="P33" s="6"/>
      <c r="Q33" s="6"/>
      <c r="R33" s="216" t="s">
        <v>55</v>
      </c>
      <c r="S33" s="217">
        <v>-2</v>
      </c>
      <c r="T33" s="218">
        <v>8</v>
      </c>
      <c r="U33" s="216" t="s">
        <v>56</v>
      </c>
      <c r="V33" s="217">
        <f t="shared" si="1"/>
        <v>-2</v>
      </c>
      <c r="W33" s="218">
        <f t="shared" si="1"/>
        <v>5</v>
      </c>
      <c r="X33" s="216">
        <f t="shared" si="2"/>
        <v>8.246211251235321</v>
      </c>
      <c r="Y33" s="219"/>
      <c r="Z33" s="219">
        <f t="shared" si="3"/>
        <v>-1.6021582953988776</v>
      </c>
      <c r="AA33" s="219">
        <f t="shared" si="4"/>
        <v>-2</v>
      </c>
      <c r="AB33" s="219">
        <f t="shared" si="5"/>
        <v>-2.0518440746643387</v>
      </c>
      <c r="AC33" s="219">
        <f t="shared" si="6"/>
        <v>4.364215462534615</v>
      </c>
      <c r="AD33" s="219">
        <f t="shared" si="7"/>
        <v>5</v>
      </c>
      <c r="AE33" s="219">
        <f t="shared" si="8"/>
        <v>4.25179401771825</v>
      </c>
      <c r="AF33" s="178"/>
      <c r="AG33" s="179"/>
      <c r="AH33" s="179"/>
      <c r="AI33" s="180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</row>
    <row r="34" spans="3:66" s="5" customFormat="1" ht="14.25">
      <c r="C34" s="9"/>
      <c r="D34" s="9"/>
      <c r="E34" s="9"/>
      <c r="F34" s="9"/>
      <c r="G34" s="9"/>
      <c r="H34" s="9"/>
      <c r="N34" s="10"/>
      <c r="O34" s="10"/>
      <c r="P34" s="6"/>
      <c r="Q34" s="6"/>
      <c r="R34" s="216" t="s">
        <v>57</v>
      </c>
      <c r="S34" s="217">
        <v>5</v>
      </c>
      <c r="T34" s="218">
        <v>-3</v>
      </c>
      <c r="U34" s="216" t="s">
        <v>58</v>
      </c>
      <c r="V34" s="217">
        <f t="shared" si="1"/>
        <v>3</v>
      </c>
      <c r="W34" s="218">
        <f t="shared" si="1"/>
        <v>2</v>
      </c>
      <c r="X34" s="216">
        <f t="shared" si="2"/>
        <v>5.830951894845301</v>
      </c>
      <c r="Y34" s="219"/>
      <c r="Z34" s="219">
        <f t="shared" si="3"/>
        <v>2.269115875022405</v>
      </c>
      <c r="AA34" s="219">
        <f t="shared" si="4"/>
        <v>3</v>
      </c>
      <c r="AB34" s="219">
        <f t="shared" si="5"/>
        <v>2.507597772963728</v>
      </c>
      <c r="AC34" s="219">
        <f t="shared" si="6"/>
        <v>2.168250990653057</v>
      </c>
      <c r="AD34" s="219">
        <f t="shared" si="7"/>
        <v>2</v>
      </c>
      <c r="AE34" s="219">
        <f t="shared" si="8"/>
        <v>2.5657208205552626</v>
      </c>
      <c r="AF34" s="178"/>
      <c r="AG34" s="179"/>
      <c r="AH34" s="179"/>
      <c r="AI34" s="180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</row>
    <row r="35" spans="3:66" s="5" customFormat="1" ht="12.75" customHeight="1">
      <c r="C35" s="9"/>
      <c r="D35" s="9"/>
      <c r="E35" s="9"/>
      <c r="F35" s="9"/>
      <c r="G35" s="9"/>
      <c r="H35" s="9"/>
      <c r="N35" s="10"/>
      <c r="O35" s="10"/>
      <c r="P35" s="6"/>
      <c r="Q35" s="6"/>
      <c r="R35" s="216"/>
      <c r="S35" s="219"/>
      <c r="T35" s="219"/>
      <c r="U35" s="216"/>
      <c r="V35" s="220"/>
      <c r="W35" s="220"/>
      <c r="X35" s="216"/>
      <c r="Y35" s="219"/>
      <c r="Z35" s="219"/>
      <c r="AA35" s="219"/>
      <c r="AB35" s="219"/>
      <c r="AC35" s="219"/>
      <c r="AD35" s="219"/>
      <c r="AE35" s="219"/>
      <c r="AF35" s="178"/>
      <c r="AG35" s="179"/>
      <c r="AH35" s="179"/>
      <c r="AI35" s="180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</row>
    <row r="36" spans="3:66" s="5" customFormat="1" ht="14.25">
      <c r="C36" s="9"/>
      <c r="D36" s="9"/>
      <c r="E36" s="9"/>
      <c r="F36" s="9"/>
      <c r="G36" s="9"/>
      <c r="H36" s="9"/>
      <c r="N36" s="10"/>
      <c r="O36" s="10"/>
      <c r="P36" s="6"/>
      <c r="Q36" s="6"/>
      <c r="R36" s="216"/>
      <c r="S36" s="219"/>
      <c r="T36" s="219"/>
      <c r="U36" s="216" t="s">
        <v>46</v>
      </c>
      <c r="V36" s="217">
        <f>V28</f>
        <v>0</v>
      </c>
      <c r="W36" s="218">
        <f>W28</f>
        <v>0</v>
      </c>
      <c r="X36" s="216"/>
      <c r="Y36" s="219"/>
      <c r="Z36" s="219"/>
      <c r="AA36" s="219"/>
      <c r="AB36" s="219"/>
      <c r="AC36" s="219"/>
      <c r="AD36" s="219"/>
      <c r="AE36" s="219"/>
      <c r="AF36" s="178"/>
      <c r="AG36" s="179"/>
      <c r="AH36" s="179"/>
      <c r="AI36" s="180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</row>
    <row r="37" spans="3:66" s="5" customFormat="1" ht="13.5">
      <c r="C37" s="9"/>
      <c r="D37" s="9"/>
      <c r="E37" s="9"/>
      <c r="F37" s="9"/>
      <c r="G37" s="9"/>
      <c r="H37" s="9"/>
      <c r="N37" s="10"/>
      <c r="O37" s="10"/>
      <c r="P37" s="6"/>
      <c r="Q37" s="6"/>
      <c r="R37" s="216" t="s">
        <v>1</v>
      </c>
      <c r="S37" s="217">
        <f>SUM(S29:S34)</f>
        <v>9.450418679126287</v>
      </c>
      <c r="T37" s="218">
        <f>SUM(T29:T34)</f>
        <v>14.498558243636474</v>
      </c>
      <c r="U37" s="216" t="s">
        <v>0</v>
      </c>
      <c r="V37" s="217">
        <f>V36+S37</f>
        <v>9.450418679126287</v>
      </c>
      <c r="W37" s="218">
        <f>W36+T37</f>
        <v>14.498558243636474</v>
      </c>
      <c r="X37" s="216">
        <f>SQRT(S37*S37+T37*T37)</f>
        <v>17.306605801106645</v>
      </c>
      <c r="Y37" s="219"/>
      <c r="Z37" s="219">
        <f>IF(AND(S37=0,T37=0),0,(lf*(-S37*COS(angf)+T37*SIN(angf)))/X37+V37)</f>
        <v>9.255077890163196</v>
      </c>
      <c r="AA37" s="219">
        <f>IF(AND(S37=0,T37=0),0,V37)</f>
        <v>9.450418679126287</v>
      </c>
      <c r="AB37" s="219">
        <f>IF(AND(S37=0,T37=0),0,lf*(-S37*COS(angf)-T37*SIN(angf))/X37+V37)</f>
        <v>8.866760769286827</v>
      </c>
      <c r="AC37" s="219">
        <f>IF(AND(S37=0,T37=0),0,(lf*(-T37*COS(angf)-S37*SIN(angf)))/X37+W37)</f>
        <v>13.774443628283851</v>
      </c>
      <c r="AD37" s="219">
        <f>IF(AND(S37=0,T37=0),0,W37)</f>
        <v>14.498558243636474</v>
      </c>
      <c r="AE37" s="219">
        <f>IF(AND(S37=0,T37=0),0,lf*(-T37*COS(angf)+S37*SIN(angf))/X37+W37)</f>
        <v>14.027555648864604</v>
      </c>
      <c r="AF37" s="178"/>
      <c r="AG37" s="179"/>
      <c r="AH37" s="179"/>
      <c r="AI37" s="180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</row>
    <row r="38" spans="3:66" s="5" customFormat="1" ht="12.75">
      <c r="C38" s="9"/>
      <c r="D38" s="9"/>
      <c r="E38" s="9"/>
      <c r="F38" s="9"/>
      <c r="G38" s="9"/>
      <c r="H38" s="9"/>
      <c r="P38" s="6"/>
      <c r="Q38" s="6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178"/>
      <c r="AG38" s="179"/>
      <c r="AH38" s="179"/>
      <c r="AI38" s="180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</row>
    <row r="39" spans="3:66" s="5" customFormat="1" ht="15.75">
      <c r="C39" s="44" t="s">
        <v>8</v>
      </c>
      <c r="D39" s="45"/>
      <c r="E39" s="45" t="s">
        <v>9</v>
      </c>
      <c r="F39" s="9"/>
      <c r="G39" s="9"/>
      <c r="H39" s="9"/>
      <c r="P39" s="6"/>
      <c r="Q39" s="6"/>
      <c r="R39" s="221"/>
      <c r="S39" s="221"/>
      <c r="T39" s="221"/>
      <c r="U39" s="221"/>
      <c r="V39" s="222"/>
      <c r="W39" s="222"/>
      <c r="X39" s="223"/>
      <c r="Y39" s="223"/>
      <c r="Z39" s="223"/>
      <c r="AA39" s="224"/>
      <c r="AB39" s="224"/>
      <c r="AC39" s="224"/>
      <c r="AD39" s="224"/>
      <c r="AE39" s="224"/>
      <c r="AF39" s="179"/>
      <c r="AG39" s="179"/>
      <c r="AH39" s="179"/>
      <c r="AI39" s="180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</row>
    <row r="40" spans="3:66" s="5" customFormat="1" ht="12.75">
      <c r="C40" s="46">
        <f>a*SIN((0*pas)/(2*n))*aa</f>
        <v>0</v>
      </c>
      <c r="D40" s="47"/>
      <c r="E40" s="46">
        <f>a*COS((0*pas)/(2*n))*aa</f>
        <v>4</v>
      </c>
      <c r="F40" s="9"/>
      <c r="G40" s="9"/>
      <c r="H40" s="9"/>
      <c r="P40" s="6"/>
      <c r="Q40" s="6"/>
      <c r="R40" s="223"/>
      <c r="S40" s="224"/>
      <c r="T40" s="224"/>
      <c r="U40" s="224"/>
      <c r="V40" s="224"/>
      <c r="W40" s="224"/>
      <c r="X40" s="225"/>
      <c r="Y40" s="225"/>
      <c r="Z40" s="225"/>
      <c r="AA40" s="225"/>
      <c r="AB40" s="225"/>
      <c r="AC40" s="225"/>
      <c r="AD40" s="225"/>
      <c r="AE40" s="225"/>
      <c r="AF40" s="179"/>
      <c r="AG40" s="179"/>
      <c r="AH40" s="179"/>
      <c r="AI40" s="180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</row>
    <row r="41" spans="3:66" s="5" customFormat="1" ht="12.75">
      <c r="C41" s="46">
        <f>a*SIN((1*pas)/(2*n))*aa</f>
        <v>0.2690760224481586</v>
      </c>
      <c r="D41" s="46">
        <f>a*SIN((1*pas)/(2*n))*aa</f>
        <v>0.2690760224481586</v>
      </c>
      <c r="E41" s="46">
        <f>a*COS((1*pas)/(2*n))*aa</f>
        <v>3.9909395001858243</v>
      </c>
      <c r="F41" s="9"/>
      <c r="G41" s="9"/>
      <c r="H41" s="9"/>
      <c r="P41" s="6"/>
      <c r="Q41" s="6"/>
      <c r="R41" s="223"/>
      <c r="S41" s="224"/>
      <c r="T41" s="224"/>
      <c r="U41" s="224"/>
      <c r="V41" s="224"/>
      <c r="W41" s="224"/>
      <c r="X41" s="225"/>
      <c r="Y41" s="225"/>
      <c r="Z41" s="225"/>
      <c r="AA41" s="225"/>
      <c r="AB41" s="225"/>
      <c r="AC41" s="225"/>
      <c r="AD41" s="225"/>
      <c r="AE41" s="225"/>
      <c r="AF41" s="179"/>
      <c r="AG41" s="179"/>
      <c r="AH41" s="179"/>
      <c r="AI41" s="112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</row>
    <row r="42" spans="3:66" s="5" customFormat="1" ht="12.75">
      <c r="C42" s="46">
        <f>a*SIN((2*pas)/(2*n))*aa</f>
        <v>0.5369330632706218</v>
      </c>
      <c r="D42" s="46">
        <f>a*SIN((2*pas)/(2*n))*aa</f>
        <v>0.5369330632706218</v>
      </c>
      <c r="E42" s="46">
        <f>a*COS((2*pas)/(2*n))*aa</f>
        <v>3.9637990470717392</v>
      </c>
      <c r="F42" s="9"/>
      <c r="G42" s="9"/>
      <c r="H42" s="9"/>
      <c r="P42" s="2"/>
      <c r="Q42" s="6"/>
      <c r="R42" s="223"/>
      <c r="S42" s="224"/>
      <c r="T42" s="224"/>
      <c r="U42" s="224"/>
      <c r="V42" s="224"/>
      <c r="W42" s="224"/>
      <c r="X42" s="225"/>
      <c r="Y42" s="225"/>
      <c r="Z42" s="225"/>
      <c r="AA42" s="225"/>
      <c r="AB42" s="225"/>
      <c r="AC42" s="225"/>
      <c r="AD42" s="225"/>
      <c r="AE42" s="225"/>
      <c r="AF42" s="179"/>
      <c r="AG42" s="179"/>
      <c r="AH42" s="179"/>
      <c r="AI42" s="112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</row>
    <row r="43" spans="3:66" s="5" customFormat="1" ht="12.75">
      <c r="C43" s="46">
        <f>a*SIN((3*pas)/(2*n))*aa</f>
        <v>0.8023576631330911</v>
      </c>
      <c r="D43" s="46">
        <f>a*SIN((3*pas)/(2*n))*aa</f>
        <v>0.8023576631330911</v>
      </c>
      <c r="E43" s="46">
        <f>a*COS((3*pas)/(2*n))*aa</f>
        <v>3.9187015936929424</v>
      </c>
      <c r="P43" s="2"/>
      <c r="Q43" s="6"/>
      <c r="R43" s="223"/>
      <c r="S43" s="224"/>
      <c r="T43" s="224"/>
      <c r="U43" s="224"/>
      <c r="V43" s="224"/>
      <c r="W43" s="224"/>
      <c r="X43" s="225"/>
      <c r="Y43" s="225"/>
      <c r="Z43" s="225"/>
      <c r="AA43" s="225"/>
      <c r="AB43" s="225"/>
      <c r="AC43" s="225"/>
      <c r="AD43" s="225"/>
      <c r="AE43" s="225"/>
      <c r="AF43" s="179"/>
      <c r="AG43" s="179"/>
      <c r="AH43" s="179"/>
      <c r="AI43" s="112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</row>
    <row r="44" spans="3:66" s="5" customFormat="1" ht="12.75">
      <c r="C44" s="46">
        <f>a*SIN((4*pas)/(2*n))*aa</f>
        <v>1.0641473822667005</v>
      </c>
      <c r="D44" s="46">
        <f>a*SIN((4*pas)/(2*n))*aa</f>
        <v>1.0641473822667005</v>
      </c>
      <c r="E44" s="46">
        <f>a*COS((4*pas)/(2*n))*aa</f>
        <v>3.855851442783413</v>
      </c>
      <c r="P44" s="2"/>
      <c r="Q44" s="6"/>
      <c r="R44" s="226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179"/>
      <c r="AG44" s="179"/>
      <c r="AH44" s="179"/>
      <c r="AI44" s="112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</row>
    <row r="45" spans="3:66" s="5" customFormat="1" ht="12.75">
      <c r="C45" s="46">
        <f>a*SIN((5*pas)/(2*n))*aa</f>
        <v>1.3211162478206684</v>
      </c>
      <c r="D45" s="46">
        <f>a*SIN((5*pas)/(2*n))*aa</f>
        <v>1.3211162478206684</v>
      </c>
      <c r="E45" s="46">
        <f>a*COS((5*pas)/(2*n))*aa</f>
        <v>3.7755333212334703</v>
      </c>
      <c r="P45" s="2"/>
      <c r="Q45" s="6"/>
      <c r="R45" s="226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179"/>
      <c r="AG45" s="179"/>
      <c r="AH45" s="179"/>
      <c r="AI45" s="112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</row>
    <row r="46" spans="3:66" s="5" customFormat="1" ht="12.75">
      <c r="C46" s="46">
        <f>a*SIN((6*pas)/(2*n))*aa</f>
        <v>1.5721001266156944</v>
      </c>
      <c r="D46" s="46">
        <f>a*SIN((6*pas)/(2*n))*aa</f>
        <v>1.5721001266156944</v>
      </c>
      <c r="E46" s="46">
        <f>a*COS((6*pas)/(2*n))*aa</f>
        <v>3.6781110902058027</v>
      </c>
      <c r="P46" s="2"/>
      <c r="Q46" s="6"/>
      <c r="R46" s="226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179"/>
      <c r="AG46" s="179"/>
      <c r="AH46" s="179"/>
      <c r="AI46" s="112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</row>
    <row r="47" spans="3:66" s="5" customFormat="1" ht="12.75">
      <c r="C47" s="46">
        <f>a*SIN((7*pas)/(2*n))*aa</f>
        <v>1.815961998958187</v>
      </c>
      <c r="D47" s="46">
        <f>a*SIN((7*pas)/(2*n))*aa</f>
        <v>1.815961998958187</v>
      </c>
      <c r="E47" s="46">
        <f>a*COS((7*pas)/(2*n))*aa</f>
        <v>3.5640260967534716</v>
      </c>
      <c r="I47" s="28"/>
      <c r="J47" s="46"/>
      <c r="K47" s="9"/>
      <c r="L47" s="9"/>
      <c r="M47" s="9"/>
      <c r="N47" s="12"/>
      <c r="O47" s="12"/>
      <c r="P47" s="2"/>
      <c r="Q47" s="6"/>
      <c r="R47" s="226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179"/>
      <c r="AG47" s="179"/>
      <c r="AH47" s="179"/>
      <c r="AI47" s="112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</row>
    <row r="48" spans="3:66" s="5" customFormat="1" ht="12.75">
      <c r="C48" s="46">
        <f>a*SIN((8*pas)/(2*n))*aa</f>
        <v>2.0515971096236245</v>
      </c>
      <c r="D48" s="46">
        <f>a*SIN((8*pas)/(2*n))*aa</f>
        <v>2.0515971096236245</v>
      </c>
      <c r="E48" s="46">
        <f>a*COS((8*pas)/(2*n))*aa</f>
        <v>3.4337951744074644</v>
      </c>
      <c r="I48" s="48"/>
      <c r="J48" s="48"/>
      <c r="K48" s="9"/>
      <c r="L48" s="9"/>
      <c r="M48" s="9"/>
      <c r="N48" s="12"/>
      <c r="O48" s="12"/>
      <c r="P48" s="2"/>
      <c r="Q48" s="6"/>
      <c r="R48" s="226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179"/>
      <c r="AG48" s="179"/>
      <c r="AH48" s="179"/>
      <c r="AI48" s="112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</row>
    <row r="49" spans="3:66" s="5" customFormat="1" ht="12.75">
      <c r="C49" s="46">
        <f>a*SIN((9*pas)/(2*n))*aa</f>
        <v>2.277937972673808</v>
      </c>
      <c r="D49" s="46">
        <f>a*SIN((9*pas)/(2*n))*aa</f>
        <v>2.277937972673808</v>
      </c>
      <c r="E49" s="46">
        <f>a*COS((9*pas)/(2*n))*aa</f>
        <v>3.2880083017916397</v>
      </c>
      <c r="I49" s="49"/>
      <c r="J49" s="49"/>
      <c r="K49" s="9"/>
      <c r="L49" s="9"/>
      <c r="M49" s="9"/>
      <c r="N49" s="12"/>
      <c r="O49" s="12"/>
      <c r="P49" s="2"/>
      <c r="Q49" s="6"/>
      <c r="R49" s="226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179"/>
      <c r="AG49" s="179"/>
      <c r="AH49" s="179"/>
      <c r="AI49" s="112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</row>
    <row r="50" spans="3:66" s="5" customFormat="1" ht="12.75">
      <c r="C50" s="46">
        <f>a*SIN((10*pas)/(2*n))*aa</f>
        <v>2.493959207434934</v>
      </c>
      <c r="D50" s="46">
        <f>a*SIN((10*pas)/(2*n))*aa</f>
        <v>2.493959207434934</v>
      </c>
      <c r="E50" s="46">
        <f>a*COS((10*pas)/(2*n))*aa</f>
        <v>3.127325929872119</v>
      </c>
      <c r="I50" s="49"/>
      <c r="J50" s="49"/>
      <c r="K50" s="9"/>
      <c r="L50" s="9"/>
      <c r="M50" s="9"/>
      <c r="N50" s="12"/>
      <c r="O50" s="12"/>
      <c r="P50" s="2"/>
      <c r="Q50" s="6"/>
      <c r="R50" s="226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179"/>
      <c r="AG50" s="179"/>
      <c r="AH50" s="179"/>
      <c r="AI50" s="112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</row>
    <row r="51" spans="3:66" s="5" customFormat="1" ht="12.75">
      <c r="C51" s="46">
        <f>a*SIN((11*pas)/(2*n))*aa</f>
        <v>2.6986821837282973</v>
      </c>
      <c r="D51" s="46">
        <f>a*SIN((11*pas)/(2*n))*aa</f>
        <v>2.6986821837282973</v>
      </c>
      <c r="E51" s="46">
        <f>a*COS((11*pas)/(2*n))*aa</f>
        <v>2.9524759899493627</v>
      </c>
      <c r="I51" s="48"/>
      <c r="J51" s="48"/>
      <c r="K51" s="9"/>
      <c r="L51" s="9"/>
      <c r="M51" s="9"/>
      <c r="N51" s="12"/>
      <c r="O51" s="12"/>
      <c r="P51" s="2"/>
      <c r="Q51" s="6"/>
      <c r="R51" s="226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179"/>
      <c r="AG51" s="179"/>
      <c r="AH51" s="179"/>
      <c r="AI51" s="112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</row>
    <row r="52" spans="3:66" s="5" customFormat="1" ht="12.75">
      <c r="C52" s="46">
        <f>a*SIN((12*pas)/(2*n))*aa</f>
        <v>2.891179455309566</v>
      </c>
      <c r="D52" s="46">
        <f>a*SIN((12*pas)/(2*n))*aa</f>
        <v>2.891179455309566</v>
      </c>
      <c r="E52" s="46">
        <f>a*COS((12*pas)/(2*n))*aa</f>
        <v>2.7642505959474586</v>
      </c>
      <c r="I52" s="49"/>
      <c r="J52" s="49"/>
      <c r="K52" s="9"/>
      <c r="L52" s="9"/>
      <c r="M52" s="9"/>
      <c r="N52" s="12"/>
      <c r="O52" s="12"/>
      <c r="P52" s="2"/>
      <c r="Q52" s="6"/>
      <c r="R52" s="226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179"/>
      <c r="AG52" s="179"/>
      <c r="AH52" s="179"/>
      <c r="AI52" s="112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</row>
    <row r="53" spans="3:66" s="5" customFormat="1" ht="12.75">
      <c r="C53" s="46">
        <f>a*SIN((13*pas)/(2*n))*aa</f>
        <v>3.0705789614320445</v>
      </c>
      <c r="D53" s="46">
        <f>a*SIN((13*pas)/(2*n))*aa</f>
        <v>3.0705789614320445</v>
      </c>
      <c r="E53" s="46">
        <f>a*COS((13*pas)/(2*n))*aa</f>
        <v>2.5635024559400965</v>
      </c>
      <c r="I53" s="49"/>
      <c r="J53" s="49"/>
      <c r="K53" s="9"/>
      <c r="L53" s="9"/>
      <c r="M53" s="9"/>
      <c r="N53" s="12"/>
      <c r="O53" s="12"/>
      <c r="P53" s="2"/>
      <c r="Q53" s="6"/>
      <c r="R53" s="226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179"/>
      <c r="AG53" s="179"/>
      <c r="AH53" s="179"/>
      <c r="AI53" s="112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</row>
    <row r="54" spans="3:66" s="5" customFormat="1" ht="12.75">
      <c r="C54" s="46">
        <f>a*SIN((14*pas)/(2*n))*aa</f>
        <v>3.2360679774997894</v>
      </c>
      <c r="D54" s="46">
        <f>a*SIN((14*pas)/(2*n))*aa</f>
        <v>3.2360679774997894</v>
      </c>
      <c r="E54" s="46">
        <f>a*COS((14*pas)/(2*n))*aa</f>
        <v>2.351141009169893</v>
      </c>
      <c r="O54" s="12"/>
      <c r="P54" s="2"/>
      <c r="Q54" s="6"/>
      <c r="R54" s="226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179"/>
      <c r="AG54" s="179"/>
      <c r="AH54" s="179"/>
      <c r="AI54" s="112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</row>
    <row r="55" spans="3:66" s="5" customFormat="1" ht="12.75">
      <c r="C55" s="46">
        <f>a*SIN((15*pas)/(2*n))*aa</f>
        <v>3.3868967969131365</v>
      </c>
      <c r="D55" s="46">
        <f>a*SIN((15*pas)/(2*n))*aa</f>
        <v>3.3868967969131365</v>
      </c>
      <c r="E55" s="46">
        <f>a*COS((15*pas)/(2*n))*aa</f>
        <v>2.1281283060613463</v>
      </c>
      <c r="O55" s="12"/>
      <c r="P55" s="2"/>
      <c r="Q55" s="6"/>
      <c r="R55" s="172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12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</row>
    <row r="56" spans="3:66" s="5" customFormat="1" ht="12.75">
      <c r="C56" s="46">
        <f>a*SIN((16*pas)/(2*n))*aa</f>
        <v>3.522382127426952</v>
      </c>
      <c r="D56" s="46">
        <f>a*SIN((16*pas)/(2*n))*aa</f>
        <v>3.522382127426952</v>
      </c>
      <c r="E56" s="46">
        <f>a*COS((16*pas)/(2*n))*aa</f>
        <v>1.8954746498919948</v>
      </c>
      <c r="O56" s="12"/>
      <c r="P56" s="2"/>
      <c r="Q56" s="6"/>
      <c r="R56" s="172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12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</row>
    <row r="57" spans="3:66" s="5" customFormat="1" ht="12.75">
      <c r="C57" s="46">
        <f>a*SIN((17*pas)/(2*n))*aa</f>
        <v>3.6419101866352634</v>
      </c>
      <c r="D57" s="46">
        <f>a*SIN((17*pas)/(2*n))*aa</f>
        <v>3.6419101866352634</v>
      </c>
      <c r="E57" s="46">
        <f>a*COS((17*pas)/(2*n))*aa</f>
        <v>1.6542340198660828</v>
      </c>
      <c r="O57" s="12"/>
      <c r="P57" s="2"/>
      <c r="Q57" s="6"/>
      <c r="R57" s="172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12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</row>
    <row r="58" spans="3:66" s="5" customFormat="1" ht="12.75">
      <c r="C58" s="46">
        <f>a*SIN((18*pas)/(2*n))*aa</f>
        <v>3.744939482558949</v>
      </c>
      <c r="D58" s="46">
        <f>a*SIN((18*pas)/(2*n))*aa</f>
        <v>3.744939482558949</v>
      </c>
      <c r="E58" s="46">
        <f>a*COS((18*pas)/(2*n))*aa</f>
        <v>1.405499296325371</v>
      </c>
      <c r="O58" s="12"/>
      <c r="P58" s="2"/>
      <c r="Q58" s="6"/>
      <c r="R58" s="172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12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</row>
    <row r="59" spans="3:66" s="5" customFormat="1" ht="12.75">
      <c r="C59" s="46">
        <f>a*SIN((19*pas)/(2*n))*aa</f>
        <v>3.831003266739722</v>
      </c>
      <c r="D59" s="46">
        <f>a*SIN((19*pas)/(2*n))*aa</f>
        <v>3.831003266739722</v>
      </c>
      <c r="E59" s="46">
        <f>a*COS((19*pas)/(2*n))*aa</f>
        <v>1.1503973097280693</v>
      </c>
      <c r="O59" s="12"/>
      <c r="P59" s="2"/>
      <c r="Q59" s="6"/>
      <c r="R59" s="172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12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</row>
    <row r="60" spans="3:66" s="5" customFormat="1" ht="12.75">
      <c r="C60" s="46">
        <f>a*SIN((20*pas)/(2*n))*aa</f>
        <v>3.8997116487272945</v>
      </c>
      <c r="D60" s="46">
        <f>a*SIN((20*pas)/(2*n))*aa</f>
        <v>3.8997116487272945</v>
      </c>
      <c r="E60" s="46">
        <f>a*COS((20*pas)/(2*n))*aa</f>
        <v>0.8900837358252578</v>
      </c>
      <c r="O60" s="12"/>
      <c r="P60" s="2"/>
      <c r="Q60" s="6"/>
      <c r="R60" s="172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12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</row>
    <row r="61" spans="3:66" s="5" customFormat="1" ht="12.75">
      <c r="C61" s="46"/>
      <c r="D61" s="46"/>
      <c r="E61" s="46"/>
      <c r="O61" s="12"/>
      <c r="P61" s="2"/>
      <c r="Q61" s="6"/>
      <c r="R61" s="172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12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</row>
    <row r="62" spans="3:66" s="5" customFormat="1" ht="12.75">
      <c r="C62" s="46"/>
      <c r="D62" s="9"/>
      <c r="E62" s="46"/>
      <c r="O62" s="12"/>
      <c r="P62" s="2"/>
      <c r="Q62" s="6"/>
      <c r="R62" s="172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12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</row>
    <row r="63" spans="15:66" s="5" customFormat="1" ht="12.75">
      <c r="O63" s="12"/>
      <c r="P63" s="9"/>
      <c r="Q63" s="9"/>
      <c r="R63" s="179"/>
      <c r="S63" s="179"/>
      <c r="T63" s="182"/>
      <c r="U63" s="182">
        <f>PI()/n</f>
        <v>1.3463968515384828</v>
      </c>
      <c r="V63" s="171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12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</row>
    <row r="64" spans="15:66" s="5" customFormat="1" ht="12.75">
      <c r="O64" s="12"/>
      <c r="P64" s="11"/>
      <c r="Q64" s="11"/>
      <c r="R64" s="166"/>
      <c r="S64" s="166"/>
      <c r="T64" s="166"/>
      <c r="U64" s="169"/>
      <c r="V64" s="167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12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</row>
    <row r="65" spans="15:66" s="5" customFormat="1" ht="12.75">
      <c r="O65" s="12"/>
      <c r="P65" s="11"/>
      <c r="Q65" s="11"/>
      <c r="R65" s="183"/>
      <c r="S65" s="166"/>
      <c r="T65" s="166"/>
      <c r="U65" s="184"/>
      <c r="V65" s="168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12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</row>
    <row r="66" spans="15:66" s="5" customFormat="1" ht="12.75">
      <c r="O66" s="50"/>
      <c r="P66" s="11"/>
      <c r="Q66" s="11"/>
      <c r="R66" s="183"/>
      <c r="S66" s="166"/>
      <c r="T66" s="169"/>
      <c r="U66" s="185"/>
      <c r="V66" s="167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12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</row>
    <row r="67" spans="10:66" s="5" customFormat="1" ht="12.75">
      <c r="J67" s="9"/>
      <c r="K67" s="9"/>
      <c r="L67" s="51"/>
      <c r="M67" s="12"/>
      <c r="N67" s="12"/>
      <c r="O67" s="12"/>
      <c r="P67" s="52"/>
      <c r="Q67" s="13"/>
      <c r="R67" s="166"/>
      <c r="S67" s="166"/>
      <c r="T67" s="169"/>
      <c r="U67" s="184"/>
      <c r="V67" s="167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12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</row>
    <row r="68" spans="10:66" s="5" customFormat="1" ht="15">
      <c r="J68" s="9"/>
      <c r="K68" s="9"/>
      <c r="L68" s="53"/>
      <c r="M68" s="11"/>
      <c r="N68" s="11"/>
      <c r="O68" s="11"/>
      <c r="P68" s="11"/>
      <c r="Q68" s="54"/>
      <c r="R68" s="186"/>
      <c r="S68" s="186"/>
      <c r="T68" s="169">
        <v>2</v>
      </c>
      <c r="U68" s="184"/>
      <c r="V68" s="167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12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</row>
    <row r="69" spans="10:66" s="5" customFormat="1" ht="15">
      <c r="J69" s="9"/>
      <c r="K69" s="9"/>
      <c r="L69" s="53"/>
      <c r="M69" s="11"/>
      <c r="N69" s="11"/>
      <c r="O69" s="11"/>
      <c r="P69" s="11"/>
      <c r="Q69" s="54"/>
      <c r="R69" s="186"/>
      <c r="S69" s="186"/>
      <c r="T69" s="169"/>
      <c r="U69" s="184"/>
      <c r="V69" s="167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12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</row>
    <row r="70" spans="10:66" s="5" customFormat="1" ht="15">
      <c r="J70" s="9"/>
      <c r="K70" s="9"/>
      <c r="L70" s="53"/>
      <c r="M70" s="11"/>
      <c r="N70" s="11"/>
      <c r="O70" s="11"/>
      <c r="P70" s="11"/>
      <c r="Q70" s="54"/>
      <c r="R70" s="186"/>
      <c r="S70" s="186"/>
      <c r="T70" s="187">
        <f>IF(AA3=1,"P /",AA3)</f>
        <v>3</v>
      </c>
      <c r="U70" s="166"/>
      <c r="V70" s="167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12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</row>
    <row r="71" spans="10:66" s="5" customFormat="1" ht="15">
      <c r="J71" s="9"/>
      <c r="K71" s="9"/>
      <c r="L71" s="56"/>
      <c r="M71" s="11"/>
      <c r="N71" s="11"/>
      <c r="O71" s="11"/>
      <c r="P71" s="11"/>
      <c r="Q71" s="54"/>
      <c r="R71" s="186"/>
      <c r="S71" s="186"/>
      <c r="T71" s="188">
        <f>IF(AA4=1," ",AA4)</f>
        <v>7</v>
      </c>
      <c r="U71" s="166"/>
      <c r="V71" s="189">
        <f>1/(AA3/AA4)</f>
        <v>2.3333333333333335</v>
      </c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12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</row>
    <row r="72" spans="10:66" s="5" customFormat="1" ht="12.75">
      <c r="J72" s="9"/>
      <c r="K72" s="9"/>
      <c r="L72" s="59"/>
      <c r="M72" s="11"/>
      <c r="N72" s="11"/>
      <c r="O72" s="60"/>
      <c r="P72" s="11"/>
      <c r="Q72" s="11"/>
      <c r="R72" s="181"/>
      <c r="S72" s="182"/>
      <c r="T72" s="182"/>
      <c r="U72" s="190"/>
      <c r="V72" s="167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12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</row>
    <row r="73" spans="10:66" s="5" customFormat="1" ht="12.75">
      <c r="J73" s="9"/>
      <c r="K73" s="9"/>
      <c r="L73" s="11"/>
      <c r="M73" s="11"/>
      <c r="N73" s="11"/>
      <c r="O73" s="11"/>
      <c r="P73" s="11"/>
      <c r="Q73" s="11"/>
      <c r="R73" s="181"/>
      <c r="S73" s="182"/>
      <c r="T73" s="182"/>
      <c r="U73" s="190"/>
      <c r="V73" s="167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12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</row>
    <row r="74" spans="10:66" s="5" customFormat="1" ht="12.75">
      <c r="J74" s="9"/>
      <c r="K74" s="9"/>
      <c r="L74" s="11"/>
      <c r="M74" s="11"/>
      <c r="N74" s="11"/>
      <c r="O74" s="11"/>
      <c r="P74" s="11"/>
      <c r="Q74" s="11"/>
      <c r="R74" s="181"/>
      <c r="S74" s="182"/>
      <c r="T74" s="182"/>
      <c r="U74" s="190"/>
      <c r="V74" s="167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12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</row>
    <row r="75" spans="10:66" s="5" customFormat="1" ht="12.75">
      <c r="J75" s="9"/>
      <c r="K75" s="9"/>
      <c r="L75" s="11"/>
      <c r="M75" s="11"/>
      <c r="N75" s="11"/>
      <c r="O75" s="11"/>
      <c r="P75" s="11"/>
      <c r="Q75" s="11"/>
      <c r="R75" s="181"/>
      <c r="S75" s="182"/>
      <c r="T75" s="182"/>
      <c r="U75" s="190"/>
      <c r="V75" s="167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12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</row>
    <row r="76" spans="10:66" s="5" customFormat="1" ht="12.75">
      <c r="J76" s="9"/>
      <c r="K76" s="9"/>
      <c r="L76" s="11"/>
      <c r="M76" s="11"/>
      <c r="N76" s="11"/>
      <c r="O76" s="11"/>
      <c r="P76" s="11"/>
      <c r="Q76" s="11"/>
      <c r="R76" s="183"/>
      <c r="S76" s="183"/>
      <c r="T76" s="183"/>
      <c r="U76" s="183"/>
      <c r="V76" s="167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12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</row>
    <row r="77" spans="10:66" s="5" customFormat="1" ht="12.75">
      <c r="J77" s="9"/>
      <c r="K77" s="9"/>
      <c r="L77" s="11"/>
      <c r="M77" s="11"/>
      <c r="N77" s="11"/>
      <c r="O77" s="11"/>
      <c r="P77" s="11"/>
      <c r="Q77" s="11"/>
      <c r="R77" s="183"/>
      <c r="S77" s="183"/>
      <c r="T77" s="183"/>
      <c r="U77" s="183"/>
      <c r="V77" s="167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12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</row>
    <row r="78" spans="10:66" s="5" customFormat="1" ht="12.75">
      <c r="J78" s="9"/>
      <c r="K78" s="9"/>
      <c r="L78" s="11"/>
      <c r="M78" s="11"/>
      <c r="N78" s="11"/>
      <c r="O78" s="11"/>
      <c r="P78" s="11"/>
      <c r="Q78" s="11"/>
      <c r="R78" s="182"/>
      <c r="S78" s="191"/>
      <c r="T78" s="182"/>
      <c r="U78" s="190"/>
      <c r="V78" s="167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12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</row>
    <row r="79" spans="10:66" s="5" customFormat="1" ht="15.75">
      <c r="J79" s="9"/>
      <c r="K79" s="9"/>
      <c r="L79" s="11"/>
      <c r="M79" s="11"/>
      <c r="N79" s="11"/>
      <c r="O79" s="11"/>
      <c r="P79" s="11"/>
      <c r="Q79" s="19">
        <f>3.1419/25</f>
        <v>0.125676</v>
      </c>
      <c r="R79" s="192"/>
      <c r="S79" s="193"/>
      <c r="T79" s="193"/>
      <c r="U79" s="194"/>
      <c r="V79" s="167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12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</row>
    <row r="80" spans="3:66" s="5" customFormat="1" ht="15.75">
      <c r="C80" s="9"/>
      <c r="D80" s="9"/>
      <c r="E80" s="9"/>
      <c r="F80" s="9"/>
      <c r="G80" s="9"/>
      <c r="H80" s="9"/>
      <c r="J80" s="9"/>
      <c r="K80" s="9"/>
      <c r="L80" s="11"/>
      <c r="M80" s="11"/>
      <c r="N80" s="11"/>
      <c r="O80" s="11"/>
      <c r="P80" s="11"/>
      <c r="Q80" s="11"/>
      <c r="R80" s="192"/>
      <c r="S80" s="195"/>
      <c r="T80" s="196"/>
      <c r="U80" s="197"/>
      <c r="V80" s="167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12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</row>
    <row r="81" spans="3:66" s="5" customFormat="1" ht="15.75">
      <c r="C81" s="9"/>
      <c r="D81" s="9"/>
      <c r="E81" s="9"/>
      <c r="F81" s="9"/>
      <c r="G81" s="9"/>
      <c r="H81" s="9"/>
      <c r="J81" s="9"/>
      <c r="K81" s="9"/>
      <c r="L81" s="11"/>
      <c r="M81" s="11"/>
      <c r="N81" s="11"/>
      <c r="O81" s="11"/>
      <c r="P81" s="11"/>
      <c r="Q81" s="11"/>
      <c r="R81" s="192"/>
      <c r="S81" s="195"/>
      <c r="T81" s="196"/>
      <c r="U81" s="197"/>
      <c r="V81" s="167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12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</row>
    <row r="82" spans="3:66" s="5" customFormat="1" ht="12.75">
      <c r="C82" s="9"/>
      <c r="D82" s="9"/>
      <c r="E82" s="9"/>
      <c r="F82" s="9"/>
      <c r="G82" s="9"/>
      <c r="H82" s="9"/>
      <c r="J82" s="9"/>
      <c r="K82" s="9"/>
      <c r="L82" s="11"/>
      <c r="M82" s="11"/>
      <c r="N82" s="11"/>
      <c r="O82" s="11"/>
      <c r="P82" s="11"/>
      <c r="Q82" s="11"/>
      <c r="R82" s="169"/>
      <c r="S82" s="169"/>
      <c r="T82" s="169"/>
      <c r="U82" s="184"/>
      <c r="V82" s="167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12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</row>
    <row r="83" spans="3:66" s="5" customFormat="1" ht="15">
      <c r="C83" s="9"/>
      <c r="D83" s="9"/>
      <c r="E83" s="9"/>
      <c r="F83" s="9"/>
      <c r="G83" s="9"/>
      <c r="H83" s="9"/>
      <c r="J83" s="9"/>
      <c r="K83" s="9"/>
      <c r="L83" s="11"/>
      <c r="M83" s="11"/>
      <c r="N83" s="11"/>
      <c r="O83" s="13"/>
      <c r="P83" s="11"/>
      <c r="Q83" s="11"/>
      <c r="R83" s="198"/>
      <c r="S83" s="198"/>
      <c r="T83" s="198"/>
      <c r="U83" s="198"/>
      <c r="V83" s="167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12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</row>
    <row r="84" spans="3:66" s="5" customFormat="1" ht="15">
      <c r="C84" s="9"/>
      <c r="D84" s="9"/>
      <c r="E84" s="9"/>
      <c r="F84" s="9"/>
      <c r="G84" s="9"/>
      <c r="H84" s="9"/>
      <c r="J84" s="9"/>
      <c r="K84" s="9"/>
      <c r="L84" s="11"/>
      <c r="M84" s="11"/>
      <c r="N84" s="11"/>
      <c r="O84" s="11">
        <f>PI()/12</f>
        <v>0.2617993877991494</v>
      </c>
      <c r="P84" s="11"/>
      <c r="Q84" s="11"/>
      <c r="R84" s="198"/>
      <c r="S84" s="198"/>
      <c r="T84" s="198"/>
      <c r="U84" s="198"/>
      <c r="V84" s="167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12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</row>
    <row r="85" spans="3:66" s="5" customFormat="1" ht="15">
      <c r="C85" s="9"/>
      <c r="D85" s="9"/>
      <c r="E85" s="9"/>
      <c r="F85" s="9"/>
      <c r="G85" s="9"/>
      <c r="H85" s="9"/>
      <c r="J85" s="9"/>
      <c r="K85" s="9"/>
      <c r="L85" s="11"/>
      <c r="M85" s="11"/>
      <c r="N85" s="11"/>
      <c r="O85" s="11">
        <v>172</v>
      </c>
      <c r="P85" s="13"/>
      <c r="Q85" s="13"/>
      <c r="R85" s="198"/>
      <c r="S85" s="198"/>
      <c r="T85" s="198"/>
      <c r="U85" s="198"/>
      <c r="V85" s="167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12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</row>
    <row r="86" spans="3:66" s="5" customFormat="1" ht="12.75">
      <c r="C86" s="9"/>
      <c r="D86" s="9"/>
      <c r="E86" s="9"/>
      <c r="F86" s="9"/>
      <c r="G86" s="9"/>
      <c r="H86" s="9"/>
      <c r="J86" s="9"/>
      <c r="K86" s="9"/>
      <c r="L86" s="11"/>
      <c r="M86" s="11"/>
      <c r="N86" s="11"/>
      <c r="O86" s="13"/>
      <c r="P86" s="13"/>
      <c r="Q86" s="13"/>
      <c r="R86" s="166"/>
      <c r="S86" s="166"/>
      <c r="T86" s="111"/>
      <c r="U86" s="111"/>
      <c r="V86" s="167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12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</row>
    <row r="87" spans="3:66" s="5" customFormat="1" ht="12.75">
      <c r="C87" s="9"/>
      <c r="D87" s="9"/>
      <c r="E87" s="9"/>
      <c r="F87" s="9"/>
      <c r="G87" s="9"/>
      <c r="H87" s="9"/>
      <c r="J87" s="9"/>
      <c r="K87" s="9"/>
      <c r="L87" s="11"/>
      <c r="M87" s="11"/>
      <c r="N87" s="11"/>
      <c r="O87" s="11"/>
      <c r="P87" s="13"/>
      <c r="Q87" s="13"/>
      <c r="R87" s="166"/>
      <c r="S87" s="166"/>
      <c r="T87" s="111"/>
      <c r="U87" s="111"/>
      <c r="V87" s="167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12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</row>
    <row r="88" spans="3:66" s="5" customFormat="1" ht="12.75">
      <c r="C88" s="9"/>
      <c r="D88" s="9"/>
      <c r="E88" s="9"/>
      <c r="F88" s="9"/>
      <c r="G88" s="46">
        <v>0.5</v>
      </c>
      <c r="H88" s="47"/>
      <c r="J88" s="9"/>
      <c r="K88" s="9"/>
      <c r="L88" s="11"/>
      <c r="M88" s="11"/>
      <c r="N88" s="11"/>
      <c r="O88" s="13"/>
      <c r="P88" s="13"/>
      <c r="Q88" s="13"/>
      <c r="R88" s="166"/>
      <c r="S88" s="166"/>
      <c r="T88" s="111"/>
      <c r="U88" s="111"/>
      <c r="V88" s="167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12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</row>
    <row r="89" spans="3:66" s="5" customFormat="1" ht="12.75">
      <c r="C89" s="9"/>
      <c r="D89" s="9"/>
      <c r="E89" s="9"/>
      <c r="F89" s="9"/>
      <c r="G89" s="9"/>
      <c r="H89" s="9"/>
      <c r="J89" s="9"/>
      <c r="K89" s="9"/>
      <c r="L89" s="11"/>
      <c r="M89" s="11"/>
      <c r="N89" s="11"/>
      <c r="O89" s="13"/>
      <c r="P89" s="13"/>
      <c r="Q89" s="13"/>
      <c r="R89" s="166"/>
      <c r="S89" s="166"/>
      <c r="T89" s="111"/>
      <c r="U89" s="111"/>
      <c r="V89" s="167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12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</row>
    <row r="90" spans="3:66" s="5" customFormat="1" ht="12.75">
      <c r="C90" s="9"/>
      <c r="D90" s="9"/>
      <c r="E90" s="9"/>
      <c r="F90" s="9"/>
      <c r="G90" s="9"/>
      <c r="H90" s="9"/>
      <c r="J90" s="9"/>
      <c r="K90" s="9"/>
      <c r="L90" s="9"/>
      <c r="M90" s="9"/>
      <c r="N90" s="12"/>
      <c r="O90" s="12"/>
      <c r="P90" s="6"/>
      <c r="Q90" s="6"/>
      <c r="R90" s="172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12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</row>
    <row r="91" spans="6:66" ht="15.75">
      <c r="F91" s="11"/>
      <c r="G91" s="67" t="s">
        <v>8</v>
      </c>
      <c r="H91" s="68"/>
      <c r="J91" s="11"/>
      <c r="K91" s="11"/>
      <c r="L91" s="11"/>
      <c r="M91" s="11"/>
      <c r="N91" s="19"/>
      <c r="O91" s="19"/>
      <c r="R91" s="199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11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</row>
    <row r="92" spans="6:66" ht="12.75">
      <c r="F92" s="11"/>
      <c r="G92" s="70">
        <f>0*Q3</f>
        <v>0</v>
      </c>
      <c r="H92" s="71"/>
      <c r="J92" s="11"/>
      <c r="K92" s="11"/>
      <c r="L92" s="11"/>
      <c r="M92" s="11"/>
      <c r="N92" s="19"/>
      <c r="O92" s="19"/>
      <c r="R92" s="199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11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</row>
    <row r="93" spans="6:66" ht="12.75">
      <c r="F93" s="11"/>
      <c r="G93" s="72">
        <f>a*SIN(1*AI3)*N134</f>
        <v>6.180339887498948</v>
      </c>
      <c r="H93" s="71"/>
      <c r="J93" s="11"/>
      <c r="K93" s="11"/>
      <c r="L93" s="11"/>
      <c r="M93" s="11"/>
      <c r="N93" s="19"/>
      <c r="O93" s="19"/>
      <c r="R93" s="199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11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</row>
    <row r="94" spans="6:66" ht="12.75">
      <c r="F94" s="11"/>
      <c r="G94" s="72">
        <f>a*SIN(2*AI3)*N134</f>
        <v>11.755705045849464</v>
      </c>
      <c r="H94" s="71"/>
      <c r="J94" s="11"/>
      <c r="K94" s="11"/>
      <c r="L94" s="11"/>
      <c r="M94" s="11"/>
      <c r="N94" s="19"/>
      <c r="O94" s="19"/>
      <c r="R94" s="199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11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</row>
    <row r="95" spans="6:66" ht="12.75">
      <c r="F95" s="11"/>
      <c r="G95" s="72">
        <f>a*SIN(3*AI3)*N134</f>
        <v>16.18033988749895</v>
      </c>
      <c r="H95" s="71"/>
      <c r="J95" s="11"/>
      <c r="K95" s="11"/>
      <c r="L95" s="11"/>
      <c r="M95" s="11"/>
      <c r="N95" s="19"/>
      <c r="O95" s="19"/>
      <c r="R95" s="199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11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</row>
    <row r="96" spans="6:66" ht="12.75">
      <c r="F96" s="11"/>
      <c r="G96" s="72">
        <f>(SQRT(3)/2)*N134</f>
        <v>8.660254037844386</v>
      </c>
      <c r="H96" s="71"/>
      <c r="J96" s="11"/>
      <c r="K96" s="11"/>
      <c r="L96" s="11"/>
      <c r="M96" s="11"/>
      <c r="N96" s="19"/>
      <c r="O96" s="19"/>
      <c r="R96" s="199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11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166"/>
    </row>
    <row r="97" spans="6:66" ht="12.75">
      <c r="F97" s="11"/>
      <c r="G97" s="72">
        <f>a*SIN(4*AI3)*N134</f>
        <v>19.02113032590307</v>
      </c>
      <c r="H97" s="71"/>
      <c r="J97" s="11"/>
      <c r="K97" s="11"/>
      <c r="L97" s="11"/>
      <c r="M97" s="11"/>
      <c r="N97" s="19"/>
      <c r="O97" s="19"/>
      <c r="R97" s="199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11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</row>
    <row r="98" spans="6:66" ht="12.75">
      <c r="F98" s="11"/>
      <c r="G98" s="72">
        <f>a*SIN(5*AI3)*N134</f>
        <v>20</v>
      </c>
      <c r="H98" s="73"/>
      <c r="J98" s="11"/>
      <c r="K98" s="11"/>
      <c r="L98" s="11"/>
      <c r="M98" s="11"/>
      <c r="N98" s="19"/>
      <c r="O98" s="19"/>
      <c r="R98" s="199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11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</row>
    <row r="99" spans="6:66" ht="12.75">
      <c r="F99" s="11"/>
      <c r="G99" s="72">
        <f>a*SIN(6*AI3)*N134</f>
        <v>19.021130325903073</v>
      </c>
      <c r="H99" s="71"/>
      <c r="I99" s="11"/>
      <c r="J99" s="11"/>
      <c r="K99" s="11"/>
      <c r="L99" s="11"/>
      <c r="M99" s="11"/>
      <c r="N99" s="19"/>
      <c r="O99" s="19"/>
      <c r="R99" s="199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11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</row>
    <row r="100" spans="6:66" ht="12.75">
      <c r="F100" s="11"/>
      <c r="G100" s="72">
        <f>a*SIN(7*AI3)*N134</f>
        <v>16.18033988749895</v>
      </c>
      <c r="H100" s="71"/>
      <c r="I100" s="11"/>
      <c r="J100" s="11"/>
      <c r="K100" s="11"/>
      <c r="L100" s="11"/>
      <c r="M100" s="11"/>
      <c r="N100" s="19"/>
      <c r="O100" s="19"/>
      <c r="R100" s="199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11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</row>
    <row r="101" spans="6:66" ht="12.75">
      <c r="F101" s="11"/>
      <c r="G101" s="72">
        <f>a*SIN(8*AI3)*N134</f>
        <v>11.755705045849465</v>
      </c>
      <c r="H101" s="71"/>
      <c r="I101" s="11"/>
      <c r="J101" s="11"/>
      <c r="K101" s="11"/>
      <c r="L101" s="11"/>
      <c r="M101" s="11"/>
      <c r="N101" s="19"/>
      <c r="O101" s="19"/>
      <c r="R101" s="199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11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</row>
    <row r="102" spans="6:66" ht="12.75">
      <c r="F102" s="11"/>
      <c r="G102" s="72">
        <f>a*SIN(9*AI3)*N134</f>
        <v>6.18033988749895</v>
      </c>
      <c r="H102" s="74"/>
      <c r="I102" s="11"/>
      <c r="J102" s="11"/>
      <c r="R102" s="199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11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</row>
    <row r="103" spans="6:66" ht="12.75">
      <c r="F103" s="11"/>
      <c r="G103" s="72">
        <f>a*SIN(10*AI3)*N134</f>
        <v>2.45029690981724E-15</v>
      </c>
      <c r="H103" s="74"/>
      <c r="I103" s="11"/>
      <c r="J103" s="11"/>
      <c r="R103" s="199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11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</row>
    <row r="104" spans="6:66" ht="12.75">
      <c r="F104" s="11"/>
      <c r="G104" s="72">
        <f>a*SIN(11*AI3)*N134</f>
        <v>-6.1803398874989455</v>
      </c>
      <c r="H104" s="71"/>
      <c r="I104" s="11"/>
      <c r="J104" s="11"/>
      <c r="R104" s="199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11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</row>
    <row r="105" spans="6:66" ht="12.75">
      <c r="F105" s="11"/>
      <c r="G105" s="72">
        <f>a*SIN(12*AI3)*N134</f>
        <v>-11.75570504584946</v>
      </c>
      <c r="H105" s="71"/>
      <c r="I105" s="11"/>
      <c r="J105" s="11"/>
      <c r="R105" s="199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11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</row>
    <row r="106" spans="6:66" ht="12.75">
      <c r="F106" s="11"/>
      <c r="G106" s="72">
        <f>a*SIN(13*AI3)*N134</f>
        <v>-16.180339887498945</v>
      </c>
      <c r="H106" s="71"/>
      <c r="I106" s="11"/>
      <c r="J106" s="11"/>
      <c r="R106" s="199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11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</row>
    <row r="107" spans="6:66" ht="12.75">
      <c r="F107" s="11"/>
      <c r="G107" s="72">
        <f>a*SIN(14*AI3)*N134</f>
        <v>-19.02113032590307</v>
      </c>
      <c r="H107" s="73"/>
      <c r="I107" s="75">
        <f>SQRT(3)/2</f>
        <v>0.8660254037844386</v>
      </c>
      <c r="J107" s="11"/>
      <c r="R107" s="199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11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</row>
    <row r="108" spans="6:66" ht="12.75">
      <c r="F108" s="11"/>
      <c r="G108" s="72">
        <f>a*SIN(15*AI3)*N134</f>
        <v>-20</v>
      </c>
      <c r="H108" s="74"/>
      <c r="I108" s="11"/>
      <c r="J108" s="11"/>
      <c r="R108" s="199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11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</row>
    <row r="109" spans="6:66" ht="12.75">
      <c r="F109" s="11"/>
      <c r="G109" s="72">
        <f>a*SIN(16*AI3)*N134</f>
        <v>-19.021130325903073</v>
      </c>
      <c r="H109" s="76"/>
      <c r="I109" s="11"/>
      <c r="J109" s="11"/>
      <c r="R109" s="199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11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</row>
    <row r="110" spans="6:66" ht="15.75">
      <c r="F110" s="11"/>
      <c r="G110" s="72">
        <f>a*SIN(17*AI3)*N134</f>
        <v>-16.180339887498953</v>
      </c>
      <c r="H110" s="74"/>
      <c r="I110" s="77" t="s">
        <v>9</v>
      </c>
      <c r="J110" s="11"/>
      <c r="R110" s="199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11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</row>
    <row r="111" spans="6:66" ht="12.75">
      <c r="F111" s="11"/>
      <c r="G111" s="72">
        <f>a*SIN(18*AI3)*N134</f>
        <v>-11.755705045849467</v>
      </c>
      <c r="H111" s="74"/>
      <c r="I111" s="75">
        <f>1*N134</f>
        <v>10</v>
      </c>
      <c r="J111" s="11"/>
      <c r="R111" s="199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11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</row>
    <row r="112" spans="6:66" ht="12.75">
      <c r="F112" s="11"/>
      <c r="G112" s="72">
        <f>a*SIN(19*AI3)*N134</f>
        <v>-6.180339887498953</v>
      </c>
      <c r="H112" s="74"/>
      <c r="I112" s="75">
        <f>a*COS(1*AI3)*N134</f>
        <v>19.02113032590307</v>
      </c>
      <c r="J112" s="11"/>
      <c r="R112" s="199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11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</row>
    <row r="113" spans="6:66" ht="12.75">
      <c r="F113" s="11"/>
      <c r="G113" s="72">
        <f>a*SIN(20*AI3)*N134</f>
        <v>-4.90059381963448E-15</v>
      </c>
      <c r="H113" s="76"/>
      <c r="I113" s="75">
        <f>a*COS(2*AI3)*N134</f>
        <v>16.18033988749895</v>
      </c>
      <c r="J113" s="11"/>
      <c r="R113" s="199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11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</row>
    <row r="114" spans="6:66" ht="12.75">
      <c r="F114" s="11"/>
      <c r="G114" s="11"/>
      <c r="H114" s="11"/>
      <c r="I114" s="75">
        <f>a*COS(3*AI3)*N134</f>
        <v>11.755705045849464</v>
      </c>
      <c r="J114" s="11"/>
      <c r="R114" s="199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11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</row>
    <row r="115" spans="3:66" ht="12.75">
      <c r="C115" s="11"/>
      <c r="D115" s="11"/>
      <c r="E115" s="11"/>
      <c r="F115" s="11"/>
      <c r="G115" s="11"/>
      <c r="H115" s="11"/>
      <c r="I115" s="75">
        <f>0.5*N134</f>
        <v>5</v>
      </c>
      <c r="J115" s="11"/>
      <c r="R115" s="199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11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</row>
    <row r="116" spans="3:66" ht="12.75">
      <c r="C116" s="11"/>
      <c r="D116" s="11"/>
      <c r="E116" s="11"/>
      <c r="F116" s="11"/>
      <c r="G116" s="11"/>
      <c r="H116" s="11"/>
      <c r="I116" s="75">
        <f>a*COS(4*AI3)*N134</f>
        <v>6.180339887498949</v>
      </c>
      <c r="J116" s="11"/>
      <c r="R116" s="199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11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</row>
    <row r="117" spans="3:66" ht="12.75">
      <c r="C117" s="11"/>
      <c r="D117" s="11"/>
      <c r="E117" s="11"/>
      <c r="F117" s="11"/>
      <c r="G117" s="11"/>
      <c r="H117" s="11"/>
      <c r="I117" s="75">
        <f>a*COS(5*AI3)*N134</f>
        <v>1.22514845490862E-15</v>
      </c>
      <c r="J117" s="11"/>
      <c r="R117" s="199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11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</row>
    <row r="118" spans="3:66" ht="12.75">
      <c r="C118" s="11"/>
      <c r="D118" s="11"/>
      <c r="E118" s="11"/>
      <c r="F118" s="11"/>
      <c r="G118" s="11"/>
      <c r="H118" s="11"/>
      <c r="I118" s="75">
        <f>a*COS(6*AI3)*N134</f>
        <v>-6.180339887498947</v>
      </c>
      <c r="J118" s="11"/>
      <c r="R118" s="199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11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</row>
    <row r="119" spans="3:66" ht="12.75">
      <c r="C119" s="11"/>
      <c r="D119" s="11"/>
      <c r="E119" s="11"/>
      <c r="F119" s="11"/>
      <c r="G119" s="11"/>
      <c r="H119" s="11"/>
      <c r="I119" s="75">
        <f>a*COS(7*AI3)*N134</f>
        <v>-11.75570504584946</v>
      </c>
      <c r="J119" s="11"/>
      <c r="R119" s="199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11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</row>
    <row r="120" spans="3:66" ht="12.75">
      <c r="C120" s="11"/>
      <c r="D120" s="11"/>
      <c r="E120" s="11"/>
      <c r="F120" s="11"/>
      <c r="G120" s="11"/>
      <c r="H120" s="11"/>
      <c r="I120" s="75">
        <f>a*COS(8*AI3)*N134</f>
        <v>-16.180339887498945</v>
      </c>
      <c r="J120" s="11"/>
      <c r="R120" s="199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11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</row>
    <row r="121" spans="3:66" ht="12.75">
      <c r="C121" s="11"/>
      <c r="D121" s="11"/>
      <c r="E121" s="11"/>
      <c r="F121" s="11"/>
      <c r="G121" s="11"/>
      <c r="H121" s="11"/>
      <c r="I121" s="75">
        <f>a*COS(9*AI3)*N134</f>
        <v>-19.02113032590307</v>
      </c>
      <c r="R121" s="199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11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</row>
    <row r="122" spans="3:66" ht="12.75">
      <c r="C122" s="11"/>
      <c r="D122" s="11"/>
      <c r="E122" s="11"/>
      <c r="F122" s="11"/>
      <c r="G122" s="11"/>
      <c r="H122" s="11"/>
      <c r="I122" s="75">
        <f>a*COS(10*AI3)*N134</f>
        <v>-20</v>
      </c>
      <c r="R122" s="199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11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</row>
    <row r="123" spans="3:66" ht="12.75">
      <c r="C123" s="11"/>
      <c r="D123" s="11"/>
      <c r="E123" s="11"/>
      <c r="F123" s="11"/>
      <c r="G123" s="11"/>
      <c r="H123" s="11"/>
      <c r="I123" s="75">
        <f>a*COS(11*AI3)*N134</f>
        <v>-19.021130325903073</v>
      </c>
      <c r="R123" s="199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11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</row>
    <row r="124" spans="9:66" ht="12.75">
      <c r="I124" s="75">
        <f>a*COS(12*AI3)*N134</f>
        <v>-16.180339887498953</v>
      </c>
      <c r="R124" s="199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11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</row>
    <row r="125" spans="9:66" ht="12.75">
      <c r="I125" s="75">
        <f>a*COS(13*AI3)*N134</f>
        <v>-11.755705045849465</v>
      </c>
      <c r="R125" s="199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11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</row>
    <row r="126" spans="9:66" ht="12.75">
      <c r="I126" s="75">
        <f>a*COS(14*AI3)*N134</f>
        <v>-6.180339887498951</v>
      </c>
      <c r="R126" s="199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11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</row>
    <row r="127" spans="9:66" ht="12.75">
      <c r="I127" s="75">
        <f>a*COS(15*AI3)*N134</f>
        <v>-3.67544536472586E-15</v>
      </c>
      <c r="R127" s="199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11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</row>
    <row r="128" spans="9:66" ht="12.75">
      <c r="I128" s="75">
        <f>a*COS(16*AI3)*N134</f>
        <v>6.180339887498945</v>
      </c>
      <c r="R128" s="199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11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6"/>
      <c r="BL128" s="166"/>
      <c r="BM128" s="166"/>
      <c r="BN128" s="166"/>
    </row>
    <row r="129" spans="9:66" ht="12.75">
      <c r="I129" s="75">
        <f>a*COS(17*AI3)*N134</f>
        <v>11.755705045849458</v>
      </c>
      <c r="R129" s="199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11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</row>
    <row r="130" spans="9:35" ht="12.75">
      <c r="I130" s="75">
        <f>a*COS(18*AI3)*N134</f>
        <v>16.180339887498945</v>
      </c>
      <c r="J130" s="5"/>
      <c r="K130" s="5"/>
      <c r="L130" s="5"/>
      <c r="M130" s="5"/>
      <c r="N130" s="5"/>
      <c r="O130" s="10"/>
      <c r="P130" s="10"/>
      <c r="AI130" s="16"/>
    </row>
    <row r="131" spans="9:35" ht="12.75">
      <c r="I131" s="75">
        <f>a*COS(19*AI3)*N134</f>
        <v>19.02113032590307</v>
      </c>
      <c r="J131" s="5"/>
      <c r="K131" s="5"/>
      <c r="L131" s="5"/>
      <c r="M131" s="5"/>
      <c r="N131" s="5"/>
      <c r="O131" s="10"/>
      <c r="P131" s="10"/>
      <c r="AI131" s="16"/>
    </row>
    <row r="132" spans="9:35" ht="12.75">
      <c r="I132" s="75">
        <f>a*COS(20*AI3)*N134</f>
        <v>20</v>
      </c>
      <c r="J132" s="5"/>
      <c r="K132" s="5"/>
      <c r="L132" s="9"/>
      <c r="M132" s="9"/>
      <c r="N132" s="9"/>
      <c r="O132" s="12"/>
      <c r="P132" s="12"/>
      <c r="AI132" s="16"/>
    </row>
    <row r="133" spans="9:35" ht="12.75">
      <c r="I133" s="11"/>
      <c r="J133" s="5"/>
      <c r="K133" s="5"/>
      <c r="L133" s="9"/>
      <c r="M133" s="9"/>
      <c r="N133" s="9"/>
      <c r="O133" s="12"/>
      <c r="P133" s="12"/>
      <c r="AI133" s="16"/>
    </row>
    <row r="134" spans="9:35" ht="15">
      <c r="I134" s="11"/>
      <c r="J134" s="5"/>
      <c r="K134" s="5"/>
      <c r="L134" s="78" t="s">
        <v>27</v>
      </c>
      <c r="M134" s="79"/>
      <c r="N134" s="80">
        <v>10</v>
      </c>
      <c r="O134" s="12"/>
      <c r="P134" s="12"/>
      <c r="AI134" s="16"/>
    </row>
    <row r="135" spans="9:35" ht="15">
      <c r="I135" s="11"/>
      <c r="J135" s="5"/>
      <c r="K135" s="5"/>
      <c r="L135" s="78" t="s">
        <v>28</v>
      </c>
      <c r="M135" s="79"/>
      <c r="N135" s="81">
        <v>10</v>
      </c>
      <c r="O135" s="12"/>
      <c r="P135" s="12"/>
      <c r="AI135" s="16"/>
    </row>
    <row r="136" spans="9:35" ht="12.75">
      <c r="I136" s="11"/>
      <c r="J136" s="5"/>
      <c r="K136" s="5"/>
      <c r="L136" s="9"/>
      <c r="M136" s="9"/>
      <c r="N136" s="9"/>
      <c r="O136" s="12"/>
      <c r="P136" s="12"/>
      <c r="AI136" s="16"/>
    </row>
    <row r="137" spans="9:35" ht="12.75">
      <c r="I137" s="11"/>
      <c r="J137" s="5"/>
      <c r="K137" s="5"/>
      <c r="L137" s="9"/>
      <c r="M137" s="9"/>
      <c r="N137" s="9"/>
      <c r="O137" s="12"/>
      <c r="P137" s="12"/>
      <c r="AI137" s="16"/>
    </row>
    <row r="138" spans="9:35" ht="12.75">
      <c r="I138" s="11"/>
      <c r="J138" s="28"/>
      <c r="K138" s="46"/>
      <c r="L138" s="9"/>
      <c r="M138" s="9"/>
      <c r="N138" s="9"/>
      <c r="O138" s="12"/>
      <c r="P138" s="12"/>
      <c r="AI138" s="16"/>
    </row>
    <row r="139" spans="9:35" ht="12.75">
      <c r="I139" s="11"/>
      <c r="AI139" s="16"/>
    </row>
    <row r="140" spans="9:35" ht="12.75">
      <c r="I140" s="11"/>
      <c r="AI140" s="16"/>
    </row>
    <row r="141" spans="9:35" ht="12.75">
      <c r="I141" s="11"/>
      <c r="AI141" s="16"/>
    </row>
    <row r="142" spans="9:35" ht="12.75">
      <c r="I142" s="11"/>
      <c r="AI142" s="16"/>
    </row>
    <row r="143" ht="12.75">
      <c r="AI143" s="16"/>
    </row>
    <row r="144" ht="12.75">
      <c r="AI144" s="16"/>
    </row>
    <row r="145" ht="12.75">
      <c r="AI145" s="16"/>
    </row>
    <row r="146" ht="12.75">
      <c r="AI146" s="16"/>
    </row>
    <row r="147" spans="6:35" ht="12.75">
      <c r="F147" s="48"/>
      <c r="G147" s="48"/>
      <c r="H147" s="9"/>
      <c r="I147" s="9"/>
      <c r="J147" s="9"/>
      <c r="K147" s="12"/>
      <c r="AI147" s="16"/>
    </row>
    <row r="148" spans="6:35" ht="12.75">
      <c r="F148" s="49"/>
      <c r="G148" s="49"/>
      <c r="H148" s="9"/>
      <c r="I148" s="9"/>
      <c r="J148" s="9"/>
      <c r="K148" s="12"/>
      <c r="AI148" s="16"/>
    </row>
    <row r="149" spans="6:35" ht="12.75">
      <c r="F149" s="49"/>
      <c r="G149" s="49"/>
      <c r="H149" s="9"/>
      <c r="I149" s="9"/>
      <c r="J149" s="9"/>
      <c r="K149" s="12"/>
      <c r="AI149" s="16"/>
    </row>
    <row r="150" spans="6:35" ht="12.75">
      <c r="F150" s="12"/>
      <c r="G150" s="12"/>
      <c r="H150" s="9"/>
      <c r="I150" s="9"/>
      <c r="J150" s="9"/>
      <c r="K150" s="12"/>
      <c r="AI150" s="16"/>
    </row>
    <row r="151" spans="6:35" ht="12.75">
      <c r="F151" s="12"/>
      <c r="G151" s="12"/>
      <c r="H151" s="9"/>
      <c r="I151" s="46">
        <f>a*COS((20*pas)/(2*n))*N135</f>
        <v>4.4504186791262885</v>
      </c>
      <c r="J151" s="28">
        <f>a*SIN((20*pas)/(2*n))*N135</f>
        <v>19.498558243636474</v>
      </c>
      <c r="K151" s="12"/>
      <c r="AI151" s="16"/>
    </row>
    <row r="152" spans="6:35" ht="12.75">
      <c r="F152" s="5"/>
      <c r="G152" s="5"/>
      <c r="H152" s="9"/>
      <c r="I152" s="46">
        <f>1*N134</f>
        <v>10</v>
      </c>
      <c r="J152" s="28">
        <f>0*N134</f>
        <v>0</v>
      </c>
      <c r="K152" s="12"/>
      <c r="AI152" s="16"/>
    </row>
    <row r="153" spans="6:35" ht="12.75">
      <c r="F153" s="5"/>
      <c r="G153" s="5"/>
      <c r="H153" s="9"/>
      <c r="I153" s="9"/>
      <c r="J153" s="9"/>
      <c r="K153" s="12"/>
      <c r="AI153" s="16"/>
    </row>
    <row r="154" spans="6:35" ht="12.75">
      <c r="F154" s="12"/>
      <c r="G154" s="12"/>
      <c r="H154" s="9"/>
      <c r="I154" s="9"/>
      <c r="J154" s="9"/>
      <c r="K154" s="12"/>
      <c r="AI154" s="16"/>
    </row>
    <row r="155" spans="6:35" ht="12.75">
      <c r="F155" s="12"/>
      <c r="G155" s="12"/>
      <c r="H155" s="9"/>
      <c r="I155" s="9"/>
      <c r="J155" s="9"/>
      <c r="K155" s="12"/>
      <c r="AI155" s="16"/>
    </row>
    <row r="156" spans="6:35" ht="12.75">
      <c r="F156" s="12">
        <v>0</v>
      </c>
      <c r="G156" s="82">
        <f>J151</f>
        <v>19.498558243636474</v>
      </c>
      <c r="H156" s="9"/>
      <c r="I156" s="83" t="s">
        <v>6</v>
      </c>
      <c r="J156" s="63">
        <v>2</v>
      </c>
      <c r="K156" s="10"/>
      <c r="AI156" s="16"/>
    </row>
    <row r="157" spans="6:35" ht="12.75">
      <c r="F157" s="5"/>
      <c r="G157" s="9"/>
      <c r="H157" s="9"/>
      <c r="I157" s="12"/>
      <c r="J157" s="10"/>
      <c r="K157" s="10"/>
      <c r="AI157" s="16"/>
    </row>
    <row r="158" spans="6:35" ht="12.75">
      <c r="F158" s="5"/>
      <c r="G158" s="9"/>
      <c r="H158" s="9"/>
      <c r="I158" s="84"/>
      <c r="J158" s="84"/>
      <c r="K158" s="84"/>
      <c r="AI158" s="16"/>
    </row>
    <row r="159" spans="6:35" ht="12.75">
      <c r="F159" s="5"/>
      <c r="G159" s="9"/>
      <c r="H159" s="9"/>
      <c r="I159" s="51"/>
      <c r="J159" s="83"/>
      <c r="K159" s="50"/>
      <c r="AI159" s="16"/>
    </row>
    <row r="160" ht="12.75">
      <c r="AI160" s="16"/>
    </row>
    <row r="161" ht="12.75">
      <c r="AI161" s="16"/>
    </row>
    <row r="162" ht="12.75">
      <c r="AI162" s="16"/>
    </row>
    <row r="163" ht="12.75">
      <c r="AI163" s="16"/>
    </row>
    <row r="164" ht="12.75">
      <c r="AI164" s="16"/>
    </row>
    <row r="165" ht="12.75">
      <c r="AI165" s="16"/>
    </row>
    <row r="166" ht="12.75">
      <c r="AI166" s="16"/>
    </row>
    <row r="167" ht="12.75">
      <c r="AI167" s="16"/>
    </row>
    <row r="168" ht="12.75">
      <c r="AI168" s="16"/>
    </row>
    <row r="169" ht="12.75">
      <c r="AI169" s="16"/>
    </row>
    <row r="170" ht="12.75">
      <c r="AI170" s="16"/>
    </row>
    <row r="171" ht="12.75">
      <c r="AI171" s="16"/>
    </row>
    <row r="172" ht="12.75">
      <c r="AI172" s="16"/>
    </row>
    <row r="173" ht="12.75">
      <c r="AI173" s="16"/>
    </row>
    <row r="174" ht="12.75">
      <c r="AI174" s="16"/>
    </row>
    <row r="175" ht="12.75">
      <c r="AI175" s="16"/>
    </row>
    <row r="176" ht="12.75">
      <c r="AI176" s="16"/>
    </row>
    <row r="177" ht="12.75">
      <c r="AI177" s="16"/>
    </row>
    <row r="178" ht="12.75">
      <c r="AI178" s="16"/>
    </row>
    <row r="179" ht="12.75">
      <c r="AI179" s="16"/>
    </row>
    <row r="180" ht="12.75">
      <c r="AI180" s="16"/>
    </row>
    <row r="181" ht="12.75">
      <c r="AI181" s="16"/>
    </row>
    <row r="182" ht="12.75">
      <c r="AI182" s="16"/>
    </row>
    <row r="183" ht="12.75">
      <c r="AI183" s="16"/>
    </row>
    <row r="184" ht="12.75">
      <c r="AI184" s="16"/>
    </row>
    <row r="185" ht="12.75">
      <c r="AI185" s="16"/>
    </row>
    <row r="186" ht="12.75">
      <c r="AI186" s="16"/>
    </row>
    <row r="187" ht="12.75">
      <c r="AI187" s="16"/>
    </row>
    <row r="188" ht="12.75">
      <c r="AI188" s="16"/>
    </row>
    <row r="189" ht="12.75">
      <c r="AI189" s="16"/>
    </row>
    <row r="190" ht="12.75">
      <c r="AI190" s="16"/>
    </row>
    <row r="191" ht="12.75">
      <c r="AI191" s="16"/>
    </row>
    <row r="192" ht="12.75">
      <c r="AI192" s="16"/>
    </row>
    <row r="193" ht="12.75">
      <c r="AI193" s="16"/>
    </row>
    <row r="194" ht="12.75">
      <c r="AI194" s="16"/>
    </row>
    <row r="195" ht="12.75">
      <c r="AI195" s="16"/>
    </row>
    <row r="196" ht="12.75">
      <c r="AI196" s="16"/>
    </row>
    <row r="197" ht="12.75">
      <c r="AI197" s="16"/>
    </row>
    <row r="198" ht="12.75">
      <c r="AI198" s="16"/>
    </row>
    <row r="199" ht="12.75">
      <c r="AI199" s="16"/>
    </row>
    <row r="200" ht="12.75">
      <c r="AI200" s="16"/>
    </row>
    <row r="201" ht="12.75">
      <c r="AI201" s="16"/>
    </row>
    <row r="202" ht="12.75">
      <c r="AI202" s="16"/>
    </row>
    <row r="203" ht="12.75">
      <c r="AI203" s="16"/>
    </row>
    <row r="204" ht="12.75">
      <c r="AI204" s="16"/>
    </row>
    <row r="205" ht="12.75">
      <c r="AI205" s="16"/>
    </row>
    <row r="206" ht="12.75">
      <c r="AI206" s="16"/>
    </row>
    <row r="207" ht="12.75">
      <c r="AI207" s="16"/>
    </row>
    <row r="208" ht="12.75">
      <c r="AI208" s="16"/>
    </row>
    <row r="209" ht="12.75">
      <c r="AI209" s="16"/>
    </row>
    <row r="210" ht="12.75">
      <c r="AI210" s="16"/>
    </row>
    <row r="211" ht="12.75">
      <c r="AI211" s="16"/>
    </row>
    <row r="212" ht="12.75">
      <c r="AI212" s="16"/>
    </row>
    <row r="213" ht="12.75">
      <c r="AI213" s="16"/>
    </row>
    <row r="214" ht="12.75">
      <c r="AI214" s="16"/>
    </row>
    <row r="215" ht="12.75">
      <c r="AI215" s="16"/>
    </row>
    <row r="216" ht="12.75">
      <c r="AI216" s="16"/>
    </row>
    <row r="217" ht="12.75">
      <c r="AI217" s="16"/>
    </row>
    <row r="218" ht="12.75">
      <c r="AI218" s="16"/>
    </row>
    <row r="219" ht="12.75">
      <c r="AI219" s="16"/>
    </row>
    <row r="220" ht="12.75">
      <c r="AI220" s="16"/>
    </row>
    <row r="221" ht="12.75">
      <c r="AI221" s="16"/>
    </row>
    <row r="222" ht="12.75">
      <c r="AI222" s="16"/>
    </row>
    <row r="223" ht="12.75">
      <c r="AI223" s="16"/>
    </row>
    <row r="224" ht="12.75">
      <c r="AI224" s="16"/>
    </row>
    <row r="225" ht="12.75">
      <c r="AI225" s="16"/>
    </row>
    <row r="226" ht="12.75">
      <c r="AI226" s="16"/>
    </row>
    <row r="227" ht="12.75">
      <c r="AI227" s="16"/>
    </row>
    <row r="228" ht="12.75">
      <c r="AI228" s="16"/>
    </row>
    <row r="229" ht="12.75">
      <c r="AI229" s="16"/>
    </row>
    <row r="230" ht="12.75">
      <c r="AI230" s="16"/>
    </row>
    <row r="231" ht="12.75">
      <c r="AI231" s="16"/>
    </row>
    <row r="232" ht="12.75">
      <c r="AI232" s="16"/>
    </row>
    <row r="233" ht="12.75">
      <c r="AI233" s="16"/>
    </row>
    <row r="234" ht="12.75">
      <c r="AI234" s="16"/>
    </row>
    <row r="235" ht="12.75">
      <c r="AI235" s="16"/>
    </row>
    <row r="236" ht="12.75">
      <c r="AI236" s="16"/>
    </row>
    <row r="237" ht="12.75">
      <c r="AI237" s="16"/>
    </row>
    <row r="238" ht="12.75">
      <c r="AI238" s="16"/>
    </row>
    <row r="239" ht="12.75">
      <c r="AI239" s="16"/>
    </row>
    <row r="240" ht="12.75">
      <c r="AI240" s="16"/>
    </row>
    <row r="241" ht="12.75">
      <c r="AI241" s="16"/>
    </row>
    <row r="242" ht="12.75">
      <c r="AI242" s="16"/>
    </row>
    <row r="243" ht="12.75">
      <c r="AI243" s="16"/>
    </row>
    <row r="244" ht="12.75">
      <c r="AI244" s="16"/>
    </row>
    <row r="245" ht="12.75">
      <c r="AI245" s="16"/>
    </row>
    <row r="246" ht="12.75">
      <c r="AI246" s="16"/>
    </row>
    <row r="247" ht="12.75">
      <c r="AI247" s="16"/>
    </row>
    <row r="248" ht="12.75">
      <c r="AI248" s="16"/>
    </row>
    <row r="249" ht="12.75">
      <c r="AI249" s="16"/>
    </row>
    <row r="250" ht="12.75">
      <c r="AI250" s="16"/>
    </row>
    <row r="251" ht="12.75">
      <c r="AI251" s="16"/>
    </row>
    <row r="252" ht="12.75">
      <c r="AI252" s="16"/>
    </row>
    <row r="253" ht="12.75">
      <c r="AI253" s="16"/>
    </row>
    <row r="254" ht="12.75">
      <c r="AI254" s="16"/>
    </row>
    <row r="255" ht="12.75">
      <c r="AI255" s="16"/>
    </row>
    <row r="256" ht="12.75">
      <c r="AI256" s="16"/>
    </row>
    <row r="257" ht="12.75">
      <c r="AI257" s="16"/>
    </row>
    <row r="258" ht="12.75">
      <c r="AI258" s="16"/>
    </row>
    <row r="259" ht="12.75">
      <c r="AI259" s="16"/>
    </row>
    <row r="260" ht="12.75">
      <c r="AI260" s="16"/>
    </row>
    <row r="261" ht="12.75">
      <c r="AI261" s="16"/>
    </row>
    <row r="262" ht="12.75">
      <c r="AI262" s="16"/>
    </row>
    <row r="263" ht="12.75">
      <c r="AI263" s="16"/>
    </row>
    <row r="264" ht="12.75">
      <c r="AI264" s="16"/>
    </row>
    <row r="265" ht="12.75">
      <c r="AI265" s="16"/>
    </row>
    <row r="266" ht="12.75">
      <c r="AI266" s="16"/>
    </row>
    <row r="267" ht="12.75">
      <c r="AI267" s="16"/>
    </row>
    <row r="268" ht="12.75">
      <c r="AI268" s="16"/>
    </row>
    <row r="269" ht="12.75">
      <c r="AI269" s="16"/>
    </row>
    <row r="270" ht="12.75">
      <c r="AI270" s="16"/>
    </row>
    <row r="271" ht="12.75">
      <c r="AI271" s="16"/>
    </row>
    <row r="272" ht="12.75">
      <c r="AI272" s="16"/>
    </row>
    <row r="273" ht="12.75">
      <c r="AI273" s="16"/>
    </row>
    <row r="274" ht="12.75">
      <c r="AI274" s="16"/>
    </row>
    <row r="275" ht="12.75">
      <c r="AI275" s="16"/>
    </row>
    <row r="276" ht="12.75">
      <c r="AI276" s="16"/>
    </row>
    <row r="277" ht="12.75">
      <c r="AI277" s="16"/>
    </row>
    <row r="278" ht="12.75">
      <c r="AI278" s="16"/>
    </row>
    <row r="279" ht="12.75">
      <c r="AI279" s="16"/>
    </row>
    <row r="280" ht="12.75">
      <c r="AI280" s="16"/>
    </row>
    <row r="281" ht="12.75">
      <c r="AI281" s="16"/>
    </row>
    <row r="282" ht="12.75">
      <c r="AI282" s="16"/>
    </row>
    <row r="283" ht="12.75">
      <c r="AI283" s="16"/>
    </row>
    <row r="284" ht="12.75">
      <c r="AI284" s="16"/>
    </row>
    <row r="285" ht="12.75">
      <c r="AI285" s="16"/>
    </row>
    <row r="286" ht="12.75">
      <c r="AI286" s="16"/>
    </row>
    <row r="287" ht="12.75">
      <c r="AI287" s="16"/>
    </row>
    <row r="288" ht="12.75">
      <c r="AI288" s="16"/>
    </row>
    <row r="289" ht="12.75">
      <c r="AI289" s="16"/>
    </row>
    <row r="290" ht="12.75">
      <c r="AI290" s="16"/>
    </row>
    <row r="291" ht="12.75">
      <c r="AI291" s="16"/>
    </row>
    <row r="292" ht="12.75">
      <c r="AI292" s="16"/>
    </row>
    <row r="293" ht="12.75">
      <c r="AI293" s="16"/>
    </row>
    <row r="294" ht="12.75">
      <c r="AI294" s="16"/>
    </row>
    <row r="295" ht="12.75">
      <c r="AI295" s="16"/>
    </row>
    <row r="296" ht="12.75">
      <c r="AI296" s="16"/>
    </row>
    <row r="297" ht="12.75">
      <c r="AI297" s="16"/>
    </row>
    <row r="298" ht="12.75">
      <c r="AI298" s="16"/>
    </row>
    <row r="299" ht="12.75">
      <c r="AI299" s="16"/>
    </row>
    <row r="300" ht="12.75">
      <c r="AI300" s="16"/>
    </row>
    <row r="301" ht="12.75">
      <c r="AI301" s="16"/>
    </row>
    <row r="302" ht="12.75">
      <c r="AI302" s="16"/>
    </row>
    <row r="303" ht="12.75">
      <c r="AI303" s="16"/>
    </row>
    <row r="304" ht="12.75">
      <c r="AI304" s="16"/>
    </row>
    <row r="305" ht="12.75">
      <c r="AI305" s="16"/>
    </row>
    <row r="306" ht="12.75">
      <c r="AI306" s="16"/>
    </row>
    <row r="307" ht="12.75">
      <c r="AI307" s="16"/>
    </row>
    <row r="308" ht="12.75">
      <c r="AI308" s="16"/>
    </row>
    <row r="309" ht="12.75">
      <c r="AI309" s="16"/>
    </row>
    <row r="310" ht="12.75">
      <c r="AI310" s="16"/>
    </row>
    <row r="311" ht="12.75">
      <c r="AI311" s="16"/>
    </row>
    <row r="312" ht="12.75">
      <c r="AI312" s="16"/>
    </row>
    <row r="313" ht="12.75">
      <c r="AI313" s="16"/>
    </row>
    <row r="314" ht="12.75">
      <c r="AI314" s="16"/>
    </row>
    <row r="315" ht="12.75">
      <c r="AI315" s="16"/>
    </row>
    <row r="316" ht="12.75">
      <c r="AI316" s="16"/>
    </row>
    <row r="317" ht="12.75">
      <c r="AI317" s="16"/>
    </row>
    <row r="318" ht="12.75">
      <c r="AI318" s="16"/>
    </row>
    <row r="319" ht="12.75">
      <c r="AI319" s="16"/>
    </row>
    <row r="320" ht="12.75">
      <c r="AI320" s="16"/>
    </row>
    <row r="321" ht="12.75">
      <c r="AI321" s="16"/>
    </row>
    <row r="322" ht="12.75">
      <c r="AI322" s="16"/>
    </row>
    <row r="323" ht="12.75">
      <c r="AI323" s="16"/>
    </row>
    <row r="324" ht="12.75">
      <c r="AI324" s="16"/>
    </row>
    <row r="325" ht="12.75">
      <c r="AI325" s="16"/>
    </row>
    <row r="326" ht="12.75">
      <c r="AI326" s="16"/>
    </row>
    <row r="327" ht="12.75">
      <c r="AI327" s="16"/>
    </row>
    <row r="328" ht="12.75">
      <c r="AI328" s="16"/>
    </row>
    <row r="329" ht="12.75">
      <c r="AI329" s="16"/>
    </row>
    <row r="330" ht="12.75">
      <c r="AI330" s="16"/>
    </row>
    <row r="331" ht="12.75">
      <c r="AI331" s="16"/>
    </row>
    <row r="332" ht="12.75">
      <c r="AI332" s="16"/>
    </row>
    <row r="333" ht="12.75">
      <c r="AI333" s="16"/>
    </row>
    <row r="334" ht="12.75">
      <c r="AI334" s="16"/>
    </row>
    <row r="335" ht="12.75">
      <c r="AI335" s="16"/>
    </row>
    <row r="336" ht="12.75">
      <c r="AI336" s="16"/>
    </row>
    <row r="337" ht="12.75">
      <c r="AI337" s="16"/>
    </row>
    <row r="338" ht="12.75">
      <c r="AI338" s="16"/>
    </row>
    <row r="339" ht="12.75">
      <c r="AI339" s="16"/>
    </row>
    <row r="340" ht="12.75">
      <c r="AI340" s="16"/>
    </row>
    <row r="341" ht="12.75">
      <c r="AI341" s="16"/>
    </row>
    <row r="342" ht="12.75">
      <c r="AI342" s="16"/>
    </row>
    <row r="343" ht="12.75">
      <c r="AI343" s="16"/>
    </row>
    <row r="344" ht="12.75">
      <c r="AI344" s="16"/>
    </row>
    <row r="345" ht="12.75">
      <c r="AI345" s="16"/>
    </row>
    <row r="346" ht="12.75">
      <c r="AI346" s="16"/>
    </row>
    <row r="347" ht="12.75">
      <c r="AI347" s="16"/>
    </row>
    <row r="348" ht="12.75">
      <c r="AI348" s="16"/>
    </row>
    <row r="349" ht="12.75">
      <c r="AI349" s="16"/>
    </row>
    <row r="350" ht="12.75">
      <c r="AI350" s="16"/>
    </row>
    <row r="351" ht="12.75">
      <c r="AI351" s="16"/>
    </row>
    <row r="352" ht="12.75">
      <c r="AI352" s="16"/>
    </row>
    <row r="353" ht="12.75">
      <c r="AI353" s="16"/>
    </row>
    <row r="354" ht="12.75">
      <c r="AI354" s="16"/>
    </row>
    <row r="355" ht="12.75">
      <c r="AI355" s="16"/>
    </row>
    <row r="356" ht="12.75">
      <c r="AI356" s="16"/>
    </row>
    <row r="357" ht="12.75">
      <c r="AI357" s="16"/>
    </row>
    <row r="358" ht="12.75">
      <c r="AI358" s="16"/>
    </row>
    <row r="359" ht="12.75">
      <c r="AI359" s="16"/>
    </row>
    <row r="360" ht="12.75">
      <c r="AI360" s="16"/>
    </row>
    <row r="361" ht="12.75">
      <c r="AI361" s="16"/>
    </row>
    <row r="362" ht="12.75">
      <c r="AI362" s="16"/>
    </row>
    <row r="363" ht="12.75">
      <c r="AI363" s="16"/>
    </row>
    <row r="364" ht="12.75">
      <c r="AI364" s="16"/>
    </row>
    <row r="365" ht="12.75">
      <c r="AI365" s="16"/>
    </row>
    <row r="366" ht="12.75">
      <c r="AI366" s="16"/>
    </row>
    <row r="367" ht="12.75">
      <c r="AI367" s="16"/>
    </row>
    <row r="368" ht="12.75">
      <c r="AI368" s="16"/>
    </row>
    <row r="369" ht="12.75">
      <c r="AI369" s="16"/>
    </row>
    <row r="370" ht="12.75">
      <c r="AI370" s="16"/>
    </row>
    <row r="371" ht="12.75">
      <c r="AI371" s="16"/>
    </row>
    <row r="372" ht="12.75">
      <c r="AI372" s="16"/>
    </row>
    <row r="373" ht="12.75">
      <c r="AI373" s="16"/>
    </row>
    <row r="374" ht="12.75">
      <c r="AI374" s="16"/>
    </row>
    <row r="375" ht="12.75">
      <c r="AI375" s="16"/>
    </row>
    <row r="376" ht="12.75">
      <c r="AI376" s="16"/>
    </row>
    <row r="377" ht="12.75">
      <c r="AI377" s="16"/>
    </row>
    <row r="378" ht="12.75">
      <c r="AI378" s="16"/>
    </row>
    <row r="379" ht="12.75">
      <c r="AI379" s="16"/>
    </row>
    <row r="380" ht="12.75">
      <c r="AI380" s="16"/>
    </row>
    <row r="381" ht="12.75">
      <c r="AI381" s="16"/>
    </row>
    <row r="382" ht="12.75">
      <c r="AI382" s="16"/>
    </row>
    <row r="383" ht="12.75">
      <c r="AI383" s="16"/>
    </row>
    <row r="384" ht="12.75">
      <c r="AI384" s="16"/>
    </row>
    <row r="385" ht="12.75">
      <c r="AI385" s="16"/>
    </row>
    <row r="386" ht="12.75">
      <c r="AI386" s="16"/>
    </row>
    <row r="387" ht="12.75">
      <c r="AI387" s="16"/>
    </row>
    <row r="388" ht="12.75">
      <c r="AI388" s="16"/>
    </row>
    <row r="389" ht="12.75">
      <c r="AI389" s="16"/>
    </row>
    <row r="390" ht="12.75">
      <c r="AI390" s="16"/>
    </row>
    <row r="391" ht="12.75">
      <c r="AI391" s="16"/>
    </row>
    <row r="392" ht="12.75">
      <c r="AI392" s="16"/>
    </row>
    <row r="393" ht="12.75">
      <c r="AI393" s="16"/>
    </row>
    <row r="394" ht="12.75">
      <c r="AI394" s="16"/>
    </row>
    <row r="395" ht="12.75">
      <c r="AI395" s="16"/>
    </row>
    <row r="396" ht="12.75">
      <c r="AI396" s="16"/>
    </row>
    <row r="397" ht="12.75">
      <c r="AI397" s="16"/>
    </row>
    <row r="398" ht="12.75">
      <c r="AI398" s="16"/>
    </row>
    <row r="399" ht="12.75">
      <c r="AI399" s="16"/>
    </row>
    <row r="400" ht="12.75">
      <c r="AI400" s="16"/>
    </row>
    <row r="401" ht="12.75">
      <c r="AI401" s="16"/>
    </row>
    <row r="402" ht="12.75">
      <c r="AI402" s="16"/>
    </row>
    <row r="403" ht="12.75">
      <c r="AI403" s="16"/>
    </row>
    <row r="404" ht="12.75">
      <c r="AI404" s="16"/>
    </row>
    <row r="405" ht="12.75">
      <c r="AI405" s="16"/>
    </row>
    <row r="406" ht="12.75">
      <c r="AI406" s="16"/>
    </row>
    <row r="407" ht="12.75">
      <c r="AI407" s="16"/>
    </row>
    <row r="408" ht="12.75">
      <c r="AI408" s="16"/>
    </row>
    <row r="409" ht="12.75">
      <c r="AI409" s="16"/>
    </row>
    <row r="410" ht="12.75">
      <c r="AI410" s="16"/>
    </row>
    <row r="411" ht="12.75">
      <c r="AI411" s="16"/>
    </row>
    <row r="412" ht="12.75">
      <c r="AI412" s="16"/>
    </row>
    <row r="413" ht="12.75">
      <c r="AI413" s="16"/>
    </row>
    <row r="414" ht="12.75">
      <c r="AI414" s="16"/>
    </row>
    <row r="415" ht="12.75">
      <c r="AI415" s="16"/>
    </row>
    <row r="416" ht="12.75">
      <c r="AI416" s="16"/>
    </row>
    <row r="417" ht="12.75">
      <c r="AI417" s="16"/>
    </row>
    <row r="418" ht="12.75">
      <c r="AI418" s="16"/>
    </row>
    <row r="419" ht="12.75">
      <c r="AI419" s="16"/>
    </row>
    <row r="420" ht="12.75">
      <c r="AI420" s="16"/>
    </row>
    <row r="421" ht="12.75">
      <c r="AI421" s="16"/>
    </row>
    <row r="422" ht="12.75">
      <c r="AI422" s="16"/>
    </row>
    <row r="423" ht="12.75">
      <c r="AI423" s="16"/>
    </row>
    <row r="424" ht="12.75">
      <c r="AI424" s="16"/>
    </row>
    <row r="425" ht="12.75">
      <c r="AI425" s="16"/>
    </row>
    <row r="426" ht="12.75">
      <c r="AI426" s="16"/>
    </row>
    <row r="427" ht="12.75">
      <c r="AI427" s="16"/>
    </row>
    <row r="428" ht="12.75">
      <c r="AI428" s="16"/>
    </row>
    <row r="429" ht="12.75">
      <c r="AI429" s="16"/>
    </row>
    <row r="430" ht="12.75">
      <c r="AI430" s="16"/>
    </row>
    <row r="431" ht="12.75">
      <c r="AI431" s="16"/>
    </row>
    <row r="432" ht="12.75">
      <c r="AI432" s="16"/>
    </row>
    <row r="433" ht="12.75">
      <c r="AI433" s="16"/>
    </row>
    <row r="434" ht="12.75">
      <c r="AI434" s="16"/>
    </row>
    <row r="435" ht="12.75">
      <c r="AI435" s="16"/>
    </row>
    <row r="436" ht="12.75">
      <c r="AI436" s="16"/>
    </row>
    <row r="437" ht="12.75">
      <c r="AI437" s="16"/>
    </row>
    <row r="438" ht="12.75">
      <c r="AI438" s="16"/>
    </row>
    <row r="439" ht="12.75">
      <c r="AI439" s="16"/>
    </row>
    <row r="440" ht="12.75">
      <c r="AI440" s="16"/>
    </row>
    <row r="441" ht="12.75">
      <c r="AI441" s="16"/>
    </row>
    <row r="442" ht="12.75">
      <c r="AI442" s="16"/>
    </row>
    <row r="443" ht="12.75">
      <c r="AI443" s="16"/>
    </row>
    <row r="444" ht="12.75">
      <c r="AI444" s="16"/>
    </row>
    <row r="445" ht="12.75">
      <c r="AI445" s="16"/>
    </row>
    <row r="446" ht="12.75">
      <c r="AI446" s="16"/>
    </row>
    <row r="447" ht="12.75">
      <c r="AI447" s="16"/>
    </row>
    <row r="448" ht="12.75">
      <c r="AI448" s="16"/>
    </row>
    <row r="449" ht="12.75">
      <c r="AI449" s="16"/>
    </row>
    <row r="450" ht="12.75">
      <c r="AI450" s="16"/>
    </row>
    <row r="451" ht="12.75">
      <c r="AI451" s="16"/>
    </row>
    <row r="452" ht="12.75">
      <c r="AI452" s="16"/>
    </row>
    <row r="453" ht="12.75">
      <c r="AI453" s="16"/>
    </row>
    <row r="454" ht="12.75">
      <c r="AI454" s="16"/>
    </row>
    <row r="455" ht="12.75">
      <c r="AI455" s="16"/>
    </row>
    <row r="456" ht="12.75">
      <c r="AI456" s="16"/>
    </row>
    <row r="457" ht="12.75">
      <c r="AI457" s="16"/>
    </row>
    <row r="458" ht="12.75">
      <c r="AI458" s="16"/>
    </row>
    <row r="459" ht="12.75">
      <c r="AI459" s="16"/>
    </row>
    <row r="460" ht="12.75">
      <c r="AI460" s="16"/>
    </row>
    <row r="461" ht="12.75">
      <c r="AI461" s="16"/>
    </row>
    <row r="462" ht="12.75">
      <c r="AI462" s="16"/>
    </row>
    <row r="463" ht="12.75">
      <c r="AI463" s="16"/>
    </row>
    <row r="464" ht="12.75">
      <c r="AI464" s="16"/>
    </row>
    <row r="465" ht="12.75">
      <c r="AI465" s="16"/>
    </row>
    <row r="466" ht="12.75">
      <c r="AI466" s="16"/>
    </row>
    <row r="467" ht="12.75">
      <c r="AI467" s="16"/>
    </row>
    <row r="468" ht="12.75">
      <c r="AI468" s="16"/>
    </row>
    <row r="469" ht="12.75">
      <c r="AI469" s="16"/>
    </row>
    <row r="470" ht="12.75">
      <c r="AI470" s="16"/>
    </row>
    <row r="471" ht="12.75">
      <c r="AI471" s="16"/>
    </row>
    <row r="472" ht="12.75">
      <c r="AI472" s="16"/>
    </row>
    <row r="473" ht="12.75">
      <c r="AI473" s="16"/>
    </row>
    <row r="474" ht="12.75">
      <c r="AI474" s="16"/>
    </row>
    <row r="475" ht="12.75">
      <c r="AI475" s="16"/>
    </row>
    <row r="476" ht="12.75">
      <c r="AI476" s="16"/>
    </row>
    <row r="477" ht="12.75">
      <c r="AI477" s="16"/>
    </row>
    <row r="478" ht="12.75">
      <c r="AI478" s="16"/>
    </row>
    <row r="479" ht="12.75">
      <c r="AI479" s="16"/>
    </row>
    <row r="480" ht="12.75">
      <c r="AI480" s="16"/>
    </row>
    <row r="481" ht="12.75">
      <c r="AI481" s="16"/>
    </row>
    <row r="482" ht="12.75">
      <c r="AI482" s="16"/>
    </row>
    <row r="483" ht="12.75">
      <c r="AI483" s="16"/>
    </row>
    <row r="484" ht="12.75">
      <c r="AI484" s="16"/>
    </row>
    <row r="485" ht="12.75">
      <c r="AI485" s="16"/>
    </row>
    <row r="486" ht="12.75">
      <c r="AI486" s="16"/>
    </row>
    <row r="487" ht="12.75">
      <c r="AI487" s="16"/>
    </row>
    <row r="488" ht="12.75">
      <c r="AI488" s="16"/>
    </row>
    <row r="489" ht="12.75">
      <c r="AI489" s="16"/>
    </row>
    <row r="490" ht="12.75">
      <c r="AI490" s="16"/>
    </row>
    <row r="491" ht="12.75">
      <c r="AI491" s="16"/>
    </row>
    <row r="492" ht="12.75">
      <c r="AI492" s="16"/>
    </row>
    <row r="493" ht="12.75">
      <c r="AI493" s="16"/>
    </row>
    <row r="494" ht="12.75">
      <c r="AI494" s="16"/>
    </row>
    <row r="495" ht="12.75">
      <c r="AI495" s="16"/>
    </row>
    <row r="496" ht="12.75">
      <c r="AI496" s="16"/>
    </row>
    <row r="497" ht="12.75">
      <c r="AI497" s="16"/>
    </row>
    <row r="498" ht="12.75">
      <c r="AI498" s="16"/>
    </row>
    <row r="499" ht="12.75">
      <c r="AI499" s="16"/>
    </row>
    <row r="500" ht="12.75">
      <c r="AI500" s="16"/>
    </row>
    <row r="501" ht="12.75">
      <c r="AI501" s="16"/>
    </row>
    <row r="502" ht="12.75">
      <c r="AI502" s="16"/>
    </row>
    <row r="503" ht="12.75">
      <c r="AI503" s="16"/>
    </row>
    <row r="504" ht="12.75">
      <c r="AI504" s="16"/>
    </row>
    <row r="505" ht="12.75">
      <c r="AI505" s="16"/>
    </row>
    <row r="506" ht="12.75">
      <c r="AI506" s="16"/>
    </row>
    <row r="507" ht="12.75">
      <c r="AI507" s="16"/>
    </row>
    <row r="508" ht="12.75">
      <c r="AI508" s="16"/>
    </row>
    <row r="509" ht="12.75">
      <c r="AI509" s="16"/>
    </row>
    <row r="510" ht="12.75">
      <c r="AI510" s="16"/>
    </row>
    <row r="511" ht="12.75">
      <c r="AI511" s="16"/>
    </row>
    <row r="512" ht="12.75">
      <c r="AI512" s="16"/>
    </row>
    <row r="513" ht="12.75">
      <c r="AI513" s="16"/>
    </row>
    <row r="514" ht="12.75">
      <c r="AI514" s="16"/>
    </row>
    <row r="515" ht="12.75">
      <c r="AI515" s="16"/>
    </row>
  </sheetData>
  <mergeCells count="8">
    <mergeCell ref="S81:T81"/>
    <mergeCell ref="S79:T79"/>
    <mergeCell ref="S80:T80"/>
    <mergeCell ref="B1:O1"/>
    <mergeCell ref="M6:O18"/>
    <mergeCell ref="M19:N21"/>
    <mergeCell ref="O19:O21"/>
    <mergeCell ref="M22:N22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B1:BY515"/>
  <sheetViews>
    <sheetView showRowColHeaders="0" workbookViewId="0" topLeftCell="A2">
      <selection activeCell="I4" sqref="I4"/>
    </sheetView>
  </sheetViews>
  <sheetFormatPr defaultColWidth="11.421875" defaultRowHeight="12.75"/>
  <cols>
    <col min="1" max="1" width="3.421875" style="13" customWidth="1"/>
    <col min="2" max="2" width="5.140625" style="13" customWidth="1"/>
    <col min="3" max="3" width="9.421875" style="13" customWidth="1"/>
    <col min="4" max="4" width="9.8515625" style="13" hidden="1" customWidth="1"/>
    <col min="5" max="6" width="11.421875" style="13" customWidth="1"/>
    <col min="7" max="7" width="9.7109375" style="13" customWidth="1"/>
    <col min="8" max="8" width="6.57421875" style="13" customWidth="1"/>
    <col min="9" max="9" width="19.57421875" style="13" customWidth="1"/>
    <col min="10" max="10" width="7.421875" style="13" customWidth="1"/>
    <col min="11" max="11" width="3.8515625" style="13" customWidth="1"/>
    <col min="12" max="12" width="4.57421875" style="13" customWidth="1"/>
    <col min="13" max="13" width="9.00390625" style="13" customWidth="1"/>
    <col min="14" max="14" width="11.421875" style="16" customWidth="1"/>
    <col min="15" max="15" width="21.140625" style="16" customWidth="1"/>
    <col min="16" max="17" width="11.421875" style="15" customWidth="1"/>
    <col min="18" max="18" width="11.421875" style="69" customWidth="1"/>
    <col min="19" max="20" width="11.421875" style="13" customWidth="1"/>
    <col min="21" max="21" width="11.421875" style="128" customWidth="1"/>
    <col min="22" max="16384" width="11.421875" style="13" customWidth="1"/>
  </cols>
  <sheetData>
    <row r="1" spans="2:77" s="114" customFormat="1" ht="24.75" customHeight="1">
      <c r="B1" s="119" t="s">
        <v>36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6"/>
      <c r="U1" s="126"/>
      <c r="AI1" s="116"/>
      <c r="AJ1" s="116"/>
      <c r="BX1" s="115">
        <v>1</v>
      </c>
      <c r="BY1" s="117">
        <f>3.1419/25</f>
        <v>0.125676</v>
      </c>
    </row>
    <row r="2" spans="3:50" s="5" customFormat="1" ht="3.75" customHeight="1" thickBot="1">
      <c r="C2" s="8"/>
      <c r="D2" s="9"/>
      <c r="E2" s="4"/>
      <c r="S2" s="5">
        <v>102</v>
      </c>
      <c r="U2" s="127"/>
      <c r="AB2" s="127"/>
      <c r="AI2" s="6"/>
      <c r="AJ2" s="2"/>
      <c r="AL2" s="3" t="s">
        <v>23</v>
      </c>
      <c r="AM2" s="10" t="s">
        <v>18</v>
      </c>
      <c r="AN2" s="10" t="s">
        <v>19</v>
      </c>
      <c r="AO2" s="10" t="s">
        <v>20</v>
      </c>
      <c r="AP2" s="10" t="s">
        <v>24</v>
      </c>
      <c r="AQ2" s="10" t="s">
        <v>21</v>
      </c>
      <c r="AR2" s="10" t="s">
        <v>25</v>
      </c>
      <c r="AS2" s="5" t="s">
        <v>12</v>
      </c>
      <c r="AT2" s="5" t="s">
        <v>13</v>
      </c>
      <c r="AU2" s="5" t="s">
        <v>26</v>
      </c>
      <c r="AV2" s="5" t="s">
        <v>15</v>
      </c>
      <c r="AW2" s="5" t="s">
        <v>16</v>
      </c>
      <c r="AX2" s="5" t="s">
        <v>22</v>
      </c>
    </row>
    <row r="3" spans="2:53" ht="19.5" customHeight="1">
      <c r="B3" s="97"/>
      <c r="C3" s="98"/>
      <c r="D3" s="98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1"/>
      <c r="P3" s="13"/>
      <c r="Q3" s="13"/>
      <c r="R3" s="13"/>
      <c r="AA3" s="14">
        <v>3</v>
      </c>
      <c r="AB3" s="145">
        <f>AA3*PI()/AA4</f>
        <v>1.1780972450961724</v>
      </c>
      <c r="AH3" s="13">
        <v>10</v>
      </c>
      <c r="AI3" s="15">
        <f>PI()/per</f>
        <v>0.3141592653589793</v>
      </c>
      <c r="AJ3" s="15"/>
      <c r="AK3" s="16"/>
      <c r="AL3" s="16"/>
      <c r="AM3" s="16" t="s">
        <v>17</v>
      </c>
      <c r="AN3" s="16" t="s">
        <v>10</v>
      </c>
      <c r="AO3" s="16" t="s">
        <v>11</v>
      </c>
      <c r="AP3" s="16" t="s">
        <v>14</v>
      </c>
      <c r="AQ3" s="16"/>
      <c r="AR3" s="16"/>
      <c r="BA3" s="17">
        <f>10/n</f>
        <v>3.75</v>
      </c>
    </row>
    <row r="4" spans="2:53" ht="21.75" customHeight="1" thickBot="1">
      <c r="B4" s="102"/>
      <c r="C4" s="103"/>
      <c r="D4" s="103"/>
      <c r="E4" s="96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13"/>
      <c r="Q4" s="13"/>
      <c r="R4" s="13"/>
      <c r="AA4" s="18">
        <v>8</v>
      </c>
      <c r="AB4" s="128"/>
      <c r="AI4" s="15"/>
      <c r="AJ4" s="15"/>
      <c r="AK4" s="16"/>
      <c r="AL4" s="16"/>
      <c r="AM4" s="16"/>
      <c r="AN4" s="16"/>
      <c r="AO4" s="16"/>
      <c r="AP4" s="16"/>
      <c r="BA4" s="17"/>
    </row>
    <row r="5" spans="2:53" ht="12.75" customHeight="1" thickBot="1">
      <c r="B5" s="106"/>
      <c r="C5" s="107"/>
      <c r="D5" s="107"/>
      <c r="E5" s="108"/>
      <c r="F5" s="109"/>
      <c r="G5" s="109"/>
      <c r="H5" s="109"/>
      <c r="I5" s="109"/>
      <c r="J5" s="109"/>
      <c r="K5" s="109"/>
      <c r="L5" s="109"/>
      <c r="M5" s="113">
        <f>AB8</f>
        <v>67.5</v>
      </c>
      <c r="N5" s="109"/>
      <c r="O5" s="110"/>
      <c r="P5" s="13"/>
      <c r="Q5" s="13"/>
      <c r="R5" s="13"/>
      <c r="X5" s="19"/>
      <c r="AB5" s="128"/>
      <c r="AI5" s="15"/>
      <c r="AJ5" s="15"/>
      <c r="AK5" s="16"/>
      <c r="AL5" s="16"/>
      <c r="AM5" s="16"/>
      <c r="AN5" s="16"/>
      <c r="AO5" s="16"/>
      <c r="AP5" s="16"/>
      <c r="AQ5" s="16"/>
      <c r="AR5" s="16"/>
      <c r="AS5" s="16"/>
      <c r="BA5" s="17"/>
    </row>
    <row r="6" spans="2:53" ht="409.5">
      <c r="B6" s="90"/>
      <c r="C6" s="87"/>
      <c r="D6" s="87"/>
      <c r="E6" s="85"/>
      <c r="F6" s="89"/>
      <c r="G6" s="89"/>
      <c r="H6" s="89"/>
      <c r="I6" s="89"/>
      <c r="J6" s="89"/>
      <c r="K6" s="89"/>
      <c r="L6" s="91"/>
      <c r="M6" s="152" t="s">
        <v>37</v>
      </c>
      <c r="N6" s="153"/>
      <c r="O6" s="154"/>
      <c r="P6" s="13"/>
      <c r="Q6" s="13"/>
      <c r="R6" s="13"/>
      <c r="T6" s="7">
        <v>1</v>
      </c>
      <c r="AB6" s="128">
        <f>DEGREES(AB3)</f>
        <v>67.5</v>
      </c>
      <c r="AI6" s="15">
        <f>1*10</f>
        <v>10</v>
      </c>
      <c r="AJ6" s="15">
        <f>0*10</f>
        <v>0</v>
      </c>
      <c r="AK6" s="16"/>
      <c r="AL6" s="20"/>
      <c r="AM6" s="20"/>
      <c r="AN6" s="20"/>
      <c r="AO6" s="20"/>
      <c r="AP6" s="20"/>
      <c r="AQ6" s="20"/>
      <c r="AR6" s="20"/>
      <c r="AS6" s="16"/>
      <c r="BA6" s="17"/>
    </row>
    <row r="7" spans="2:53" ht="12.75">
      <c r="B7" s="90"/>
      <c r="C7" s="87"/>
      <c r="D7" s="87"/>
      <c r="E7" s="87"/>
      <c r="F7" s="89"/>
      <c r="G7" s="89"/>
      <c r="H7" s="89"/>
      <c r="I7" s="89"/>
      <c r="J7" s="89"/>
      <c r="K7" s="89"/>
      <c r="L7" s="91"/>
      <c r="M7" s="155"/>
      <c r="N7" s="156"/>
      <c r="O7" s="157"/>
      <c r="P7" s="13"/>
      <c r="Q7" s="13"/>
      <c r="R7" s="13"/>
      <c r="AB7" s="128">
        <f>MOD(AB3,PI())</f>
        <v>1.1780972450961724</v>
      </c>
      <c r="AI7" s="6">
        <v>0</v>
      </c>
      <c r="AJ7" s="2">
        <v>0</v>
      </c>
      <c r="AK7" s="16"/>
      <c r="AL7" s="20"/>
      <c r="AM7" s="20"/>
      <c r="AN7" s="20"/>
      <c r="AO7" s="20"/>
      <c r="AP7" s="20"/>
      <c r="AQ7" s="20"/>
      <c r="AR7" s="20"/>
      <c r="AS7" s="16"/>
      <c r="BA7" s="17"/>
    </row>
    <row r="8" spans="2:53" ht="12.75" customHeight="1">
      <c r="B8" s="90"/>
      <c r="C8" s="87"/>
      <c r="D8" s="87"/>
      <c r="E8" s="87"/>
      <c r="F8" s="89"/>
      <c r="G8" s="89"/>
      <c r="H8" s="89"/>
      <c r="I8" s="89"/>
      <c r="J8" s="89"/>
      <c r="K8" s="89"/>
      <c r="L8" s="91"/>
      <c r="M8" s="155"/>
      <c r="N8" s="156"/>
      <c r="O8" s="157"/>
      <c r="P8" s="13"/>
      <c r="Q8" s="13"/>
      <c r="R8" s="13"/>
      <c r="V8" s="13">
        <f ca="1">RAND()*7</f>
        <v>1.9168162131336803</v>
      </c>
      <c r="W8" s="13">
        <f>INT(V8)</f>
        <v>1</v>
      </c>
      <c r="AB8" s="128">
        <f>DEGREES(AB7)</f>
        <v>67.5</v>
      </c>
      <c r="AI8" s="21">
        <f>(SQRT(3)/2)*10</f>
        <v>8.660254037844386</v>
      </c>
      <c r="AJ8" s="22">
        <f>0.5*10</f>
        <v>5</v>
      </c>
      <c r="AK8" s="16"/>
      <c r="AL8" s="20"/>
      <c r="AM8" s="20"/>
      <c r="AN8" s="20"/>
      <c r="AO8" s="20"/>
      <c r="AP8" s="20"/>
      <c r="AQ8" s="20"/>
      <c r="AR8" s="20"/>
      <c r="AS8" s="16"/>
      <c r="BA8" s="17"/>
    </row>
    <row r="9" spans="2:53" ht="12.75" customHeight="1">
      <c r="B9" s="90"/>
      <c r="C9" s="87"/>
      <c r="D9" s="87"/>
      <c r="E9" s="87"/>
      <c r="F9" s="89"/>
      <c r="G9" s="89"/>
      <c r="H9" s="89"/>
      <c r="I9" s="89"/>
      <c r="J9" s="89"/>
      <c r="K9" s="89"/>
      <c r="L9" s="91"/>
      <c r="M9" s="155"/>
      <c r="N9" s="156"/>
      <c r="O9" s="157"/>
      <c r="P9" s="13"/>
      <c r="Q9" s="13"/>
      <c r="R9" s="13"/>
      <c r="V9" s="13">
        <f ca="1">RAND()*9+1</f>
        <v>5.540266238981597</v>
      </c>
      <c r="W9" s="13">
        <f>IF(W8&gt;5,4,INT(V9))</f>
        <v>5</v>
      </c>
      <c r="AB9" s="128"/>
      <c r="AI9" s="21">
        <f>0.5*10</f>
        <v>5</v>
      </c>
      <c r="AJ9" s="22">
        <f>(SQRT(3)/2)*10</f>
        <v>8.660254037844386</v>
      </c>
      <c r="AK9" s="16"/>
      <c r="AL9" s="20"/>
      <c r="AM9" s="20"/>
      <c r="AN9" s="20"/>
      <c r="AO9" s="20"/>
      <c r="AP9" s="20"/>
      <c r="AQ9" s="20"/>
      <c r="AR9" s="20"/>
      <c r="AS9" s="16"/>
      <c r="BA9" s="17"/>
    </row>
    <row r="10" spans="2:53" ht="12.75" customHeight="1">
      <c r="B10" s="90"/>
      <c r="C10" s="87"/>
      <c r="D10" s="87"/>
      <c r="E10" s="87"/>
      <c r="F10" s="89"/>
      <c r="G10" s="89"/>
      <c r="H10" s="89"/>
      <c r="I10" s="89"/>
      <c r="J10" s="89"/>
      <c r="K10" s="89"/>
      <c r="L10" s="91"/>
      <c r="M10" s="155"/>
      <c r="N10" s="156"/>
      <c r="O10" s="157"/>
      <c r="P10" s="13"/>
      <c r="Q10" s="13"/>
      <c r="R10" s="13"/>
      <c r="AB10" s="128"/>
      <c r="AI10" s="6">
        <v>0</v>
      </c>
      <c r="AJ10" s="6">
        <f>1*10</f>
        <v>10</v>
      </c>
      <c r="AK10" s="16"/>
      <c r="AL10" s="20"/>
      <c r="AM10" s="20"/>
      <c r="AN10" s="20"/>
      <c r="AO10" s="20"/>
      <c r="AP10" s="16"/>
      <c r="AQ10" s="16"/>
      <c r="AR10" s="16"/>
      <c r="AS10" s="16"/>
      <c r="BA10" s="17"/>
    </row>
    <row r="11" spans="2:53" ht="12.75">
      <c r="B11" s="90"/>
      <c r="C11" s="87"/>
      <c r="D11" s="87"/>
      <c r="E11" s="87"/>
      <c r="F11" s="89"/>
      <c r="G11" s="89"/>
      <c r="H11" s="89"/>
      <c r="I11" s="89"/>
      <c r="J11" s="89"/>
      <c r="K11" s="89"/>
      <c r="L11" s="91"/>
      <c r="M11" s="155"/>
      <c r="N11" s="156"/>
      <c r="O11" s="157"/>
      <c r="P11" s="13"/>
      <c r="Q11" s="13"/>
      <c r="R11" s="13"/>
      <c r="AB11" s="128"/>
      <c r="AI11" s="23">
        <f>-AI9</f>
        <v>-5</v>
      </c>
      <c r="AJ11" s="23">
        <f>AJ9</f>
        <v>8.660254037844386</v>
      </c>
      <c r="AK11" s="16"/>
      <c r="AL11" s="20"/>
      <c r="AM11" s="20"/>
      <c r="AN11" s="20"/>
      <c r="AO11" s="20"/>
      <c r="AP11" s="16"/>
      <c r="AQ11" s="16"/>
      <c r="AR11" s="16"/>
      <c r="AS11" s="16"/>
      <c r="BA11" s="17"/>
    </row>
    <row r="12" spans="2:53" ht="12.75">
      <c r="B12" s="90"/>
      <c r="C12" s="87"/>
      <c r="D12" s="87"/>
      <c r="E12" s="87"/>
      <c r="F12" s="89"/>
      <c r="G12" s="89"/>
      <c r="H12" s="89"/>
      <c r="I12" s="89"/>
      <c r="J12" s="89"/>
      <c r="K12" s="89"/>
      <c r="L12" s="91"/>
      <c r="M12" s="155"/>
      <c r="N12" s="156"/>
      <c r="O12" s="157"/>
      <c r="P12" s="13"/>
      <c r="Q12" s="13"/>
      <c r="R12" s="13"/>
      <c r="AB12" s="128"/>
      <c r="AI12" s="23">
        <f>-AI8</f>
        <v>-8.660254037844386</v>
      </c>
      <c r="AJ12" s="23">
        <f>AJ8</f>
        <v>5</v>
      </c>
      <c r="AK12" s="16"/>
      <c r="AL12" s="20"/>
      <c r="AM12" s="20"/>
      <c r="AN12" s="20"/>
      <c r="AO12" s="24"/>
      <c r="AP12" s="16"/>
      <c r="AQ12" s="16"/>
      <c r="AR12" s="16"/>
      <c r="AS12" s="16"/>
      <c r="BA12" s="17"/>
    </row>
    <row r="13" spans="2:53" ht="12.75">
      <c r="B13" s="90"/>
      <c r="C13" s="87"/>
      <c r="D13" s="87"/>
      <c r="E13" s="87"/>
      <c r="F13" s="89"/>
      <c r="G13" s="89"/>
      <c r="H13" s="89"/>
      <c r="I13" s="89"/>
      <c r="J13" s="89"/>
      <c r="K13" s="89"/>
      <c r="L13" s="91"/>
      <c r="M13" s="155"/>
      <c r="N13" s="156"/>
      <c r="O13" s="157"/>
      <c r="P13" s="13"/>
      <c r="Q13" s="13"/>
      <c r="R13" s="13"/>
      <c r="AB13" s="128"/>
      <c r="AI13" s="15">
        <v>-10</v>
      </c>
      <c r="AJ13" s="15">
        <v>0</v>
      </c>
      <c r="AK13" s="16"/>
      <c r="AL13" s="20"/>
      <c r="AM13" s="20"/>
      <c r="AN13" s="20"/>
      <c r="AO13" s="20"/>
      <c r="AP13" s="16"/>
      <c r="AQ13" s="16"/>
      <c r="AR13" s="16"/>
      <c r="AS13" s="16"/>
      <c r="BA13" s="17"/>
    </row>
    <row r="14" spans="2:53" ht="12.75">
      <c r="B14" s="90"/>
      <c r="C14" s="87"/>
      <c r="D14" s="87"/>
      <c r="E14" s="87"/>
      <c r="F14" s="89"/>
      <c r="G14" s="89"/>
      <c r="H14" s="89"/>
      <c r="I14" s="89"/>
      <c r="J14" s="89"/>
      <c r="K14" s="89"/>
      <c r="L14" s="91"/>
      <c r="M14" s="155"/>
      <c r="N14" s="156"/>
      <c r="O14" s="157"/>
      <c r="P14" s="13"/>
      <c r="Q14" s="13"/>
      <c r="R14" s="13"/>
      <c r="AB14" s="128"/>
      <c r="AI14" s="23">
        <f>AI12</f>
        <v>-8.660254037844386</v>
      </c>
      <c r="AJ14" s="23">
        <f>-AJ12</f>
        <v>-5</v>
      </c>
      <c r="AK14" s="16"/>
      <c r="AL14" s="20"/>
      <c r="AM14" s="20"/>
      <c r="AN14" s="20"/>
      <c r="AO14" s="20"/>
      <c r="AP14" s="16"/>
      <c r="AQ14" s="16"/>
      <c r="AR14" s="16"/>
      <c r="AS14" s="16"/>
      <c r="BA14" s="17"/>
    </row>
    <row r="15" spans="2:53" ht="12.75">
      <c r="B15" s="90"/>
      <c r="C15" s="87"/>
      <c r="D15" s="87"/>
      <c r="E15" s="87"/>
      <c r="F15" s="89"/>
      <c r="G15" s="89"/>
      <c r="H15" s="89"/>
      <c r="I15" s="89"/>
      <c r="J15" s="89"/>
      <c r="K15" s="89"/>
      <c r="L15" s="91"/>
      <c r="M15" s="155"/>
      <c r="N15" s="156"/>
      <c r="O15" s="157"/>
      <c r="P15" s="13"/>
      <c r="Q15" s="13"/>
      <c r="R15" s="13"/>
      <c r="AB15" s="128"/>
      <c r="AI15" s="23">
        <f>AI11</f>
        <v>-5</v>
      </c>
      <c r="AJ15" s="23">
        <f>-AJ11</f>
        <v>-8.660254037844386</v>
      </c>
      <c r="AK15" s="16"/>
      <c r="AL15" s="16"/>
      <c r="AM15" s="16"/>
      <c r="AN15" s="16"/>
      <c r="AO15" s="16"/>
      <c r="AP15" s="16"/>
      <c r="AQ15" s="16"/>
      <c r="AR15" s="16"/>
      <c r="AS15" s="16"/>
      <c r="BA15" s="17"/>
    </row>
    <row r="16" spans="2:53" ht="12.75">
      <c r="B16" s="90"/>
      <c r="C16" s="87"/>
      <c r="D16" s="87"/>
      <c r="E16" s="87"/>
      <c r="F16" s="89"/>
      <c r="G16" s="89"/>
      <c r="H16" s="89"/>
      <c r="I16" s="89"/>
      <c r="J16" s="89"/>
      <c r="K16" s="89"/>
      <c r="L16" s="91"/>
      <c r="M16" s="155"/>
      <c r="N16" s="156"/>
      <c r="O16" s="157"/>
      <c r="P16" s="13"/>
      <c r="Q16" s="13"/>
      <c r="R16" s="13"/>
      <c r="AB16" s="128"/>
      <c r="AI16" s="15">
        <v>0</v>
      </c>
      <c r="AJ16" s="15">
        <v>-1</v>
      </c>
      <c r="AK16" s="16"/>
      <c r="AL16" s="16"/>
      <c r="AM16" s="16"/>
      <c r="AN16" s="16"/>
      <c r="AO16" s="16"/>
      <c r="AP16" s="16"/>
      <c r="AQ16" s="16"/>
      <c r="AR16" s="16"/>
      <c r="AS16" s="16"/>
      <c r="BA16" s="17">
        <f aca="true" t="shared" si="0" ref="BA16:BA24">BA15+pas</f>
        <v>0.3141592653589793</v>
      </c>
    </row>
    <row r="17" spans="2:53" ht="12.75">
      <c r="B17" s="90"/>
      <c r="C17" s="87"/>
      <c r="D17" s="87"/>
      <c r="E17" s="87"/>
      <c r="F17" s="89"/>
      <c r="G17" s="89"/>
      <c r="H17" s="89"/>
      <c r="I17" s="89"/>
      <c r="J17" s="89"/>
      <c r="K17" s="89"/>
      <c r="L17" s="91"/>
      <c r="M17" s="155"/>
      <c r="N17" s="156"/>
      <c r="O17" s="157"/>
      <c r="P17" s="13"/>
      <c r="Q17" s="13"/>
      <c r="R17" s="13"/>
      <c r="AB17" s="128"/>
      <c r="AI17" s="23">
        <f>AI9</f>
        <v>5</v>
      </c>
      <c r="AJ17" s="23">
        <f>AJ15</f>
        <v>-8.660254037844386</v>
      </c>
      <c r="AK17" s="16"/>
      <c r="AL17" s="16"/>
      <c r="AM17" s="16"/>
      <c r="AN17" s="16"/>
      <c r="AO17" s="16"/>
      <c r="AP17" s="16"/>
      <c r="BA17" s="17">
        <f t="shared" si="0"/>
        <v>0.6283185307179586</v>
      </c>
    </row>
    <row r="18" spans="2:53" ht="13.5" thickBot="1">
      <c r="B18" s="90"/>
      <c r="C18" s="87"/>
      <c r="D18" s="87"/>
      <c r="E18" s="87"/>
      <c r="F18" s="89"/>
      <c r="G18" s="89"/>
      <c r="H18" s="89"/>
      <c r="I18" s="89"/>
      <c r="J18" s="89"/>
      <c r="K18" s="89"/>
      <c r="L18" s="91"/>
      <c r="M18" s="158"/>
      <c r="N18" s="159"/>
      <c r="O18" s="160"/>
      <c r="P18" s="13"/>
      <c r="Q18" s="13"/>
      <c r="R18" s="13"/>
      <c r="AB18" s="128"/>
      <c r="AI18" s="23">
        <f>AI8</f>
        <v>8.660254037844386</v>
      </c>
      <c r="AJ18" s="23">
        <f>AJ14</f>
        <v>-5</v>
      </c>
      <c r="AK18" s="16"/>
      <c r="AL18" s="16"/>
      <c r="AM18" s="16"/>
      <c r="AN18" s="16"/>
      <c r="AO18" s="16"/>
      <c r="BA18" s="17">
        <f t="shared" si="0"/>
        <v>0.9424777960769379</v>
      </c>
    </row>
    <row r="19" spans="2:53" ht="18">
      <c r="B19" s="90"/>
      <c r="C19" s="87"/>
      <c r="D19" s="87"/>
      <c r="E19" s="87"/>
      <c r="F19" s="89"/>
      <c r="G19" s="89"/>
      <c r="H19" s="89"/>
      <c r="I19" s="89"/>
      <c r="J19" s="89"/>
      <c r="K19" s="89"/>
      <c r="L19" s="91"/>
      <c r="M19" s="120" t="s">
        <v>35</v>
      </c>
      <c r="N19" s="122"/>
      <c r="O19" s="146"/>
      <c r="P19" s="13"/>
      <c r="Q19" s="13"/>
      <c r="R19" s="13"/>
      <c r="AB19" s="128"/>
      <c r="AI19" s="15"/>
      <c r="AJ19" s="15"/>
      <c r="AK19" s="16"/>
      <c r="AL19" s="16"/>
      <c r="AM19" s="16"/>
      <c r="AN19" s="16"/>
      <c r="AO19" s="16"/>
      <c r="BA19" s="17">
        <f t="shared" si="0"/>
        <v>1.2566370614359172</v>
      </c>
    </row>
    <row r="20" spans="2:53" ht="18">
      <c r="B20" s="90"/>
      <c r="C20" s="87"/>
      <c r="D20" s="87"/>
      <c r="E20" s="87"/>
      <c r="F20" s="89"/>
      <c r="G20" s="89"/>
      <c r="H20" s="89"/>
      <c r="I20" s="89"/>
      <c r="J20" s="89"/>
      <c r="K20" s="89"/>
      <c r="L20" s="91"/>
      <c r="M20" s="121"/>
      <c r="N20" s="123"/>
      <c r="O20" s="147"/>
      <c r="P20" s="13"/>
      <c r="Q20" s="13"/>
      <c r="R20" s="13"/>
      <c r="AB20" s="128"/>
      <c r="AI20" s="15">
        <f>(SQRT(2)/2)*10</f>
        <v>7.0710678118654755</v>
      </c>
      <c r="AJ20" s="15">
        <f>(SQRT(2)/2)*10</f>
        <v>7.0710678118654755</v>
      </c>
      <c r="AK20" s="16"/>
      <c r="AL20" s="16"/>
      <c r="AM20" s="16"/>
      <c r="AN20" s="16"/>
      <c r="AO20" s="16"/>
      <c r="BA20" s="17">
        <f t="shared" si="0"/>
        <v>1.5707963267948966</v>
      </c>
    </row>
    <row r="21" spans="2:53" ht="18.75" thickBot="1">
      <c r="B21" s="90"/>
      <c r="C21" s="87"/>
      <c r="D21" s="87"/>
      <c r="E21" s="87"/>
      <c r="F21" s="89"/>
      <c r="G21" s="89"/>
      <c r="H21" s="89"/>
      <c r="I21" s="89"/>
      <c r="J21" s="89"/>
      <c r="K21" s="89"/>
      <c r="L21" s="91"/>
      <c r="M21" s="124"/>
      <c r="N21" s="125"/>
      <c r="O21" s="148"/>
      <c r="P21" s="13"/>
      <c r="Q21" s="13"/>
      <c r="R21" s="13"/>
      <c r="AB21" s="128"/>
      <c r="AI21" s="15">
        <f>(-SQRT(2)/2)*10</f>
        <v>-7.0710678118654755</v>
      </c>
      <c r="AJ21" s="15">
        <f>(SQRT(2)/2)*10</f>
        <v>7.0710678118654755</v>
      </c>
      <c r="AK21" s="16"/>
      <c r="AL21" s="16"/>
      <c r="AM21" s="16"/>
      <c r="AN21" s="16"/>
      <c r="AO21" s="16"/>
      <c r="BA21" s="17">
        <f t="shared" si="0"/>
        <v>1.8849555921538759</v>
      </c>
    </row>
    <row r="22" spans="2:53" ht="18" customHeight="1" thickBot="1">
      <c r="B22" s="90"/>
      <c r="C22" s="87"/>
      <c r="D22" s="87"/>
      <c r="E22" s="87"/>
      <c r="F22" s="89"/>
      <c r="G22" s="89"/>
      <c r="H22" s="89"/>
      <c r="I22" s="89"/>
      <c r="J22" s="89"/>
      <c r="K22" s="89"/>
      <c r="L22" s="91"/>
      <c r="M22" s="150" t="s">
        <v>45</v>
      </c>
      <c r="N22" s="151"/>
      <c r="O22" s="149">
        <f>IF(O19="","",IF(O19=O24,"Exact","Faux"))</f>
      </c>
      <c r="P22" s="13"/>
      <c r="Q22" s="13"/>
      <c r="R22" s="13"/>
      <c r="AB22" s="128"/>
      <c r="AI22" s="15">
        <f>(-SQRT(2)/2)*10</f>
        <v>-7.0710678118654755</v>
      </c>
      <c r="AJ22" s="15">
        <f>(-SQRT(2)/2)*10</f>
        <v>-7.0710678118654755</v>
      </c>
      <c r="AK22" s="16"/>
      <c r="AL22" s="16"/>
      <c r="AM22" s="16"/>
      <c r="AN22" s="16"/>
      <c r="AO22" s="16"/>
      <c r="BA22" s="17">
        <f t="shared" si="0"/>
        <v>2.199114857512855</v>
      </c>
    </row>
    <row r="23" spans="2:53" ht="12.75">
      <c r="B23" s="90"/>
      <c r="C23" s="87"/>
      <c r="D23" s="87"/>
      <c r="E23" s="87"/>
      <c r="F23" s="89"/>
      <c r="G23" s="89"/>
      <c r="H23" s="89"/>
      <c r="I23" s="89"/>
      <c r="J23" s="89"/>
      <c r="K23" s="89"/>
      <c r="L23" s="91"/>
      <c r="M23" s="97"/>
      <c r="N23" s="100"/>
      <c r="O23" s="101"/>
      <c r="P23" s="13"/>
      <c r="Q23" s="13"/>
      <c r="R23" s="13"/>
      <c r="AB23" s="128"/>
      <c r="AI23" s="15">
        <f>(SQRT(2)/2)*10</f>
        <v>7.0710678118654755</v>
      </c>
      <c r="AJ23" s="15">
        <f>(-SQRT(2)/2)*10</f>
        <v>-7.0710678118654755</v>
      </c>
      <c r="AK23" s="16"/>
      <c r="AL23" s="16"/>
      <c r="AM23" s="16"/>
      <c r="AN23" s="16"/>
      <c r="AO23" s="16"/>
      <c r="BA23" s="17">
        <f t="shared" si="0"/>
        <v>2.5132741228718345</v>
      </c>
    </row>
    <row r="24" spans="2:53" ht="15.75">
      <c r="B24" s="90"/>
      <c r="C24" s="87"/>
      <c r="D24" s="87"/>
      <c r="E24" s="87"/>
      <c r="F24" s="89"/>
      <c r="G24" s="89"/>
      <c r="H24" s="89"/>
      <c r="I24" s="89"/>
      <c r="J24" s="89"/>
      <c r="K24" s="89"/>
      <c r="L24" s="91"/>
      <c r="M24" s="102"/>
      <c r="N24" s="104"/>
      <c r="O24" s="162">
        <f>INT(AB6)</f>
        <v>67</v>
      </c>
      <c r="P24" s="13"/>
      <c r="R24" s="25" t="s">
        <v>7</v>
      </c>
      <c r="S24" s="26"/>
      <c r="T24" s="26"/>
      <c r="U24" s="129"/>
      <c r="V24" s="26"/>
      <c r="W24" s="26"/>
      <c r="X24" s="26"/>
      <c r="Y24" s="26"/>
      <c r="Z24" s="26"/>
      <c r="AA24" s="26"/>
      <c r="AB24" s="129"/>
      <c r="AC24" s="26"/>
      <c r="AD24" s="26"/>
      <c r="AE24" s="26"/>
      <c r="AF24" s="27"/>
      <c r="AI24" s="15"/>
      <c r="AJ24" s="15"/>
      <c r="AK24" s="16"/>
      <c r="AL24" s="16"/>
      <c r="AM24" s="16"/>
      <c r="AN24" s="16"/>
      <c r="AO24" s="16"/>
      <c r="BA24" s="17">
        <f t="shared" si="0"/>
        <v>2.827433388230814</v>
      </c>
    </row>
    <row r="25" spans="2:35" ht="12.75">
      <c r="B25" s="90"/>
      <c r="C25" s="86"/>
      <c r="D25" s="87"/>
      <c r="E25" s="88"/>
      <c r="F25" s="89"/>
      <c r="G25" s="89"/>
      <c r="H25" s="89"/>
      <c r="I25" s="89"/>
      <c r="J25" s="89"/>
      <c r="K25" s="89"/>
      <c r="L25" s="91"/>
      <c r="M25" s="102"/>
      <c r="N25" s="161"/>
      <c r="O25" s="105"/>
      <c r="P25" s="13"/>
      <c r="R25" s="26"/>
      <c r="S25" s="26"/>
      <c r="T25" s="26"/>
      <c r="U25" s="129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7"/>
      <c r="AI25" s="17"/>
    </row>
    <row r="26" spans="2:35" ht="12.75">
      <c r="B26" s="90"/>
      <c r="C26" s="86"/>
      <c r="D26" s="87"/>
      <c r="E26" s="88"/>
      <c r="F26" s="89"/>
      <c r="G26" s="89"/>
      <c r="H26" s="89"/>
      <c r="I26" s="89"/>
      <c r="J26" s="89"/>
      <c r="K26" s="89"/>
      <c r="L26" s="91"/>
      <c r="M26" s="102"/>
      <c r="N26" s="104"/>
      <c r="O26" s="105"/>
      <c r="P26" s="13"/>
      <c r="R26" s="29" t="s">
        <v>2</v>
      </c>
      <c r="S26" s="30">
        <v>0.75</v>
      </c>
      <c r="T26" s="26"/>
      <c r="U26" s="129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  <c r="AI26" s="17"/>
    </row>
    <row r="27" spans="2:35" ht="12.75" customHeight="1">
      <c r="B27" s="90"/>
      <c r="C27" s="87"/>
      <c r="D27" s="87"/>
      <c r="E27" s="87"/>
      <c r="F27" s="89"/>
      <c r="G27" s="89"/>
      <c r="H27" s="89"/>
      <c r="I27" s="89"/>
      <c r="J27" s="89"/>
      <c r="K27" s="89"/>
      <c r="L27" s="91"/>
      <c r="M27" s="102"/>
      <c r="N27" s="104"/>
      <c r="O27" s="105"/>
      <c r="P27" s="13"/>
      <c r="R27" s="29" t="s">
        <v>6</v>
      </c>
      <c r="S27" s="31">
        <v>18</v>
      </c>
      <c r="T27" s="32">
        <f>S27/180*PI()</f>
        <v>0.3141592653589793</v>
      </c>
      <c r="U27" s="129"/>
      <c r="V27" s="26"/>
      <c r="W27" s="26"/>
      <c r="X27" s="26"/>
      <c r="Y27" s="26"/>
      <c r="Z27" s="33" t="s">
        <v>4</v>
      </c>
      <c r="AA27" s="33"/>
      <c r="AB27" s="33"/>
      <c r="AC27" s="33" t="s">
        <v>5</v>
      </c>
      <c r="AD27" s="33"/>
      <c r="AE27" s="33"/>
      <c r="AF27" s="27"/>
      <c r="AI27" s="17"/>
    </row>
    <row r="28" spans="2:35" ht="14.25">
      <c r="B28" s="90"/>
      <c r="C28" s="87"/>
      <c r="D28" s="87"/>
      <c r="E28" s="87"/>
      <c r="F28" s="89"/>
      <c r="G28" s="89"/>
      <c r="H28" s="89"/>
      <c r="I28" s="89"/>
      <c r="J28" s="89"/>
      <c r="K28" s="89"/>
      <c r="L28" s="91"/>
      <c r="M28" s="102"/>
      <c r="N28" s="104"/>
      <c r="O28" s="105"/>
      <c r="P28" s="13"/>
      <c r="R28" s="26"/>
      <c r="S28" s="26"/>
      <c r="T28" s="26"/>
      <c r="U28" s="130" t="s">
        <v>38</v>
      </c>
      <c r="V28" s="35">
        <v>0</v>
      </c>
      <c r="W28" s="36">
        <v>0</v>
      </c>
      <c r="X28" s="34" t="s">
        <v>3</v>
      </c>
      <c r="Y28" s="26"/>
      <c r="Z28" s="33"/>
      <c r="AA28" s="33"/>
      <c r="AB28" s="33"/>
      <c r="AC28" s="33"/>
      <c r="AD28" s="33"/>
      <c r="AE28" s="33"/>
      <c r="AF28" s="27"/>
      <c r="AI28" s="17"/>
    </row>
    <row r="29" spans="2:35" s="5" customFormat="1" ht="14.25">
      <c r="B29" s="90"/>
      <c r="C29" s="87"/>
      <c r="D29" s="87"/>
      <c r="E29" s="87"/>
      <c r="F29" s="87"/>
      <c r="G29" s="87"/>
      <c r="H29" s="87"/>
      <c r="I29" s="89"/>
      <c r="J29" s="89"/>
      <c r="K29" s="89"/>
      <c r="L29" s="91"/>
      <c r="M29" s="102"/>
      <c r="N29" s="161"/>
      <c r="O29" s="163"/>
      <c r="P29" s="6"/>
      <c r="Q29" s="6"/>
      <c r="R29" s="37" t="s">
        <v>29</v>
      </c>
      <c r="S29" s="38">
        <f>I151</f>
        <v>7.653668647301797</v>
      </c>
      <c r="T29" s="39">
        <f>J151</f>
        <v>18.477590650225736</v>
      </c>
      <c r="U29" s="131" t="s">
        <v>39</v>
      </c>
      <c r="V29" s="38">
        <f aca="true" t="shared" si="1" ref="V29:W34">V28+S29</f>
        <v>7.653668647301797</v>
      </c>
      <c r="W29" s="39">
        <f t="shared" si="1"/>
        <v>18.477590650225736</v>
      </c>
      <c r="X29" s="37">
        <f aca="true" t="shared" si="2" ref="X29:X34">SQRT(S29*S29+T29*T29)</f>
        <v>20</v>
      </c>
      <c r="Y29" s="40"/>
      <c r="Z29" s="40">
        <f aca="true" t="shared" si="3" ref="Z29:Z34">IF(AND(S29=0,T29=0),0,(lf*(-S29*COS(angf)+T29*SIN(angf)))/X29+V29)</f>
        <v>7.594824325505913</v>
      </c>
      <c r="AA29" s="40">
        <f aca="true" t="shared" si="4" ref="AA29:AA34">IF(AND(S29=0,T29=0),0,V29)</f>
        <v>7.653668647301797</v>
      </c>
      <c r="AB29" s="40">
        <f aca="true" t="shared" si="5" ref="AB29:AB34">IF(AND(S29=0,T29=0),0,lf*(-S29*COS(angf)-T29*SIN(angf))/X29+V29)</f>
        <v>7.166582611054159</v>
      </c>
      <c r="AC29" s="40">
        <f aca="true" t="shared" si="6" ref="AC29:AC34">IF(AND(S29=0,T29=0),0,(lf*(-T29*COS(angf)-S29*SIN(angf)))/X29+W29)</f>
        <v>17.72990264992589</v>
      </c>
      <c r="AD29" s="40">
        <f aca="true" t="shared" si="7" ref="AD29:AD34">IF(AND(S29=0,T29=0),0,W29)</f>
        <v>18.477590650225736</v>
      </c>
      <c r="AE29" s="40">
        <f aca="true" t="shared" si="8" ref="AE29:AE34">IF(AND(S29=0,T29=0),0,lf*(-T29*COS(angf)+S29*SIN(angf))/X29+W29)</f>
        <v>17.907286176025714</v>
      </c>
      <c r="AF29" s="41"/>
      <c r="AI29" s="42"/>
    </row>
    <row r="30" spans="2:35" s="5" customFormat="1" ht="14.25">
      <c r="B30" s="90"/>
      <c r="C30" s="87"/>
      <c r="D30" s="87"/>
      <c r="E30" s="87"/>
      <c r="F30" s="87"/>
      <c r="G30" s="87"/>
      <c r="H30" s="87"/>
      <c r="I30" s="89"/>
      <c r="J30" s="89"/>
      <c r="K30" s="89"/>
      <c r="L30" s="91"/>
      <c r="M30" s="102"/>
      <c r="N30" s="161"/>
      <c r="O30" s="163"/>
      <c r="P30" s="6"/>
      <c r="Q30" s="6"/>
      <c r="R30" s="37" t="s">
        <v>30</v>
      </c>
      <c r="S30" s="38">
        <v>2</v>
      </c>
      <c r="T30" s="39">
        <v>-7</v>
      </c>
      <c r="U30" s="131" t="s">
        <v>40</v>
      </c>
      <c r="V30" s="38">
        <v>0</v>
      </c>
      <c r="W30" s="39">
        <v>0</v>
      </c>
      <c r="X30" s="37">
        <f t="shared" si="2"/>
        <v>7.280109889280518</v>
      </c>
      <c r="Y30" s="40"/>
      <c r="Z30" s="40">
        <f t="shared" si="3"/>
        <v>-0.41880191937769284</v>
      </c>
      <c r="AA30" s="40">
        <f t="shared" si="4"/>
        <v>0</v>
      </c>
      <c r="AB30" s="40">
        <f t="shared" si="5"/>
        <v>0.026888941101559333</v>
      </c>
      <c r="AC30" s="40">
        <f t="shared" si="6"/>
        <v>0.6221775890576262</v>
      </c>
      <c r="AD30" s="40">
        <f t="shared" si="7"/>
        <v>0</v>
      </c>
      <c r="AE30" s="40">
        <f t="shared" si="8"/>
        <v>0.7495178349088412</v>
      </c>
      <c r="AF30" s="41"/>
      <c r="AI30" s="42"/>
    </row>
    <row r="31" spans="2:35" s="5" customFormat="1" ht="14.25">
      <c r="B31" s="90"/>
      <c r="C31" s="87"/>
      <c r="D31" s="87"/>
      <c r="E31" s="87"/>
      <c r="F31" s="87"/>
      <c r="G31" s="87"/>
      <c r="H31" s="87"/>
      <c r="I31" s="89"/>
      <c r="J31" s="89"/>
      <c r="K31" s="89"/>
      <c r="L31" s="91"/>
      <c r="M31" s="102"/>
      <c r="N31" s="161"/>
      <c r="O31" s="163"/>
      <c r="P31" s="6"/>
      <c r="Q31" s="6"/>
      <c r="R31" s="37" t="s">
        <v>31</v>
      </c>
      <c r="S31" s="38">
        <f>I152</f>
        <v>10</v>
      </c>
      <c r="T31" s="39">
        <f>J152</f>
        <v>0</v>
      </c>
      <c r="U31" s="131" t="s">
        <v>41</v>
      </c>
      <c r="V31" s="38">
        <f t="shared" si="1"/>
        <v>10</v>
      </c>
      <c r="W31" s="39">
        <f t="shared" si="1"/>
        <v>0</v>
      </c>
      <c r="X31" s="37">
        <f t="shared" si="2"/>
        <v>10</v>
      </c>
      <c r="Y31" s="40"/>
      <c r="Z31" s="40">
        <f t="shared" si="3"/>
        <v>9.286707612778635</v>
      </c>
      <c r="AA31" s="40">
        <f t="shared" si="4"/>
        <v>10</v>
      </c>
      <c r="AB31" s="40">
        <f t="shared" si="5"/>
        <v>9.286707612778635</v>
      </c>
      <c r="AC31" s="40">
        <f t="shared" si="6"/>
        <v>-0.23176274578121053</v>
      </c>
      <c r="AD31" s="40">
        <f t="shared" si="7"/>
        <v>0</v>
      </c>
      <c r="AE31" s="40">
        <f t="shared" si="8"/>
        <v>0.23176274578121053</v>
      </c>
      <c r="AF31" s="41"/>
      <c r="AI31" s="42"/>
    </row>
    <row r="32" spans="2:35" s="5" customFormat="1" ht="14.25">
      <c r="B32" s="90"/>
      <c r="C32" s="87"/>
      <c r="D32" s="87"/>
      <c r="E32" s="87"/>
      <c r="F32" s="87"/>
      <c r="G32" s="87"/>
      <c r="H32" s="87"/>
      <c r="I32" s="89"/>
      <c r="J32" s="89"/>
      <c r="K32" s="89"/>
      <c r="L32" s="91"/>
      <c r="M32" s="102"/>
      <c r="N32" s="161"/>
      <c r="O32" s="163"/>
      <c r="P32" s="6"/>
      <c r="Q32" s="6"/>
      <c r="R32" s="37" t="s">
        <v>32</v>
      </c>
      <c r="S32" s="38">
        <v>-10</v>
      </c>
      <c r="T32" s="39">
        <v>-3</v>
      </c>
      <c r="U32" s="131" t="s">
        <v>42</v>
      </c>
      <c r="V32" s="38">
        <f t="shared" si="1"/>
        <v>0</v>
      </c>
      <c r="W32" s="39">
        <f t="shared" si="1"/>
        <v>-3</v>
      </c>
      <c r="X32" s="37">
        <f t="shared" si="2"/>
        <v>10.44030650891055</v>
      </c>
      <c r="Y32" s="40"/>
      <c r="Z32" s="40">
        <f t="shared" si="3"/>
        <v>0.6166136625754859</v>
      </c>
      <c r="AA32" s="40">
        <f t="shared" si="4"/>
        <v>0</v>
      </c>
      <c r="AB32" s="40">
        <f t="shared" si="5"/>
        <v>0.7498067324820484</v>
      </c>
      <c r="AC32" s="40">
        <f t="shared" si="6"/>
        <v>-2.573048490897099</v>
      </c>
      <c r="AD32" s="40">
        <f t="shared" si="7"/>
        <v>-3</v>
      </c>
      <c r="AE32" s="40">
        <f t="shared" si="8"/>
        <v>-3.017025390585641</v>
      </c>
      <c r="AF32" s="41"/>
      <c r="AI32" s="42"/>
    </row>
    <row r="33" spans="2:35" s="5" customFormat="1" ht="15" thickBot="1">
      <c r="B33" s="92"/>
      <c r="C33" s="93"/>
      <c r="D33" s="93"/>
      <c r="E33" s="93"/>
      <c r="F33" s="93"/>
      <c r="G33" s="93"/>
      <c r="H33" s="93"/>
      <c r="I33" s="94"/>
      <c r="J33" s="94"/>
      <c r="K33" s="94"/>
      <c r="L33" s="95"/>
      <c r="M33" s="106"/>
      <c r="N33" s="164"/>
      <c r="O33" s="165"/>
      <c r="P33" s="6"/>
      <c r="Q33" s="6"/>
      <c r="R33" s="37" t="s">
        <v>33</v>
      </c>
      <c r="S33" s="38">
        <v>-2</v>
      </c>
      <c r="T33" s="39">
        <v>8</v>
      </c>
      <c r="U33" s="131" t="s">
        <v>43</v>
      </c>
      <c r="V33" s="38">
        <f t="shared" si="1"/>
        <v>-2</v>
      </c>
      <c r="W33" s="39">
        <f t="shared" si="1"/>
        <v>5</v>
      </c>
      <c r="X33" s="37">
        <f t="shared" si="2"/>
        <v>8.246211251235321</v>
      </c>
      <c r="Y33" s="40"/>
      <c r="Z33" s="40">
        <f t="shared" si="3"/>
        <v>-1.6021582953988776</v>
      </c>
      <c r="AA33" s="40">
        <f t="shared" si="4"/>
        <v>-2</v>
      </c>
      <c r="AB33" s="40">
        <f t="shared" si="5"/>
        <v>-2.0518440746643387</v>
      </c>
      <c r="AC33" s="40">
        <f t="shared" si="6"/>
        <v>4.364215462534615</v>
      </c>
      <c r="AD33" s="40">
        <f t="shared" si="7"/>
        <v>5</v>
      </c>
      <c r="AE33" s="40">
        <f t="shared" si="8"/>
        <v>4.25179401771825</v>
      </c>
      <c r="AF33" s="41"/>
      <c r="AI33" s="42"/>
    </row>
    <row r="34" spans="3:35" s="5" customFormat="1" ht="14.25">
      <c r="C34" s="9"/>
      <c r="D34" s="9"/>
      <c r="E34" s="9"/>
      <c r="F34" s="9"/>
      <c r="G34" s="9"/>
      <c r="H34" s="9"/>
      <c r="N34" s="10"/>
      <c r="O34" s="10"/>
      <c r="P34" s="6"/>
      <c r="Q34" s="6"/>
      <c r="R34" s="37" t="s">
        <v>34</v>
      </c>
      <c r="S34" s="38">
        <v>5</v>
      </c>
      <c r="T34" s="39">
        <v>-3</v>
      </c>
      <c r="U34" s="131" t="s">
        <v>44</v>
      </c>
      <c r="V34" s="38">
        <f t="shared" si="1"/>
        <v>3</v>
      </c>
      <c r="W34" s="39">
        <f t="shared" si="1"/>
        <v>2</v>
      </c>
      <c r="X34" s="37">
        <f t="shared" si="2"/>
        <v>5.830951894845301</v>
      </c>
      <c r="Y34" s="40"/>
      <c r="Z34" s="40">
        <f t="shared" si="3"/>
        <v>2.269115875022405</v>
      </c>
      <c r="AA34" s="40">
        <f t="shared" si="4"/>
        <v>3</v>
      </c>
      <c r="AB34" s="40">
        <f t="shared" si="5"/>
        <v>2.507597772963728</v>
      </c>
      <c r="AC34" s="40">
        <f t="shared" si="6"/>
        <v>2.168250990653057</v>
      </c>
      <c r="AD34" s="40">
        <f t="shared" si="7"/>
        <v>2</v>
      </c>
      <c r="AE34" s="40">
        <f t="shared" si="8"/>
        <v>2.5657208205552626</v>
      </c>
      <c r="AF34" s="41"/>
      <c r="AI34" s="42"/>
    </row>
    <row r="35" spans="3:35" s="5" customFormat="1" ht="12.75" customHeight="1">
      <c r="C35" s="9"/>
      <c r="D35" s="9"/>
      <c r="E35" s="9"/>
      <c r="F35" s="9"/>
      <c r="G35" s="9"/>
      <c r="H35" s="9"/>
      <c r="N35" s="10"/>
      <c r="O35" s="10"/>
      <c r="P35" s="6"/>
      <c r="Q35" s="6"/>
      <c r="R35" s="37"/>
      <c r="S35" s="40"/>
      <c r="T35" s="40"/>
      <c r="U35" s="131"/>
      <c r="V35" s="43"/>
      <c r="W35" s="43"/>
      <c r="X35" s="37"/>
      <c r="Y35" s="40"/>
      <c r="Z35" s="40"/>
      <c r="AA35" s="40"/>
      <c r="AB35" s="40"/>
      <c r="AC35" s="40"/>
      <c r="AD35" s="40"/>
      <c r="AE35" s="40"/>
      <c r="AF35" s="41"/>
      <c r="AI35" s="42"/>
    </row>
    <row r="36" spans="3:35" s="5" customFormat="1" ht="14.25">
      <c r="C36" s="9"/>
      <c r="D36" s="9"/>
      <c r="E36" s="9"/>
      <c r="F36" s="9"/>
      <c r="G36" s="9"/>
      <c r="H36" s="9"/>
      <c r="N36" s="10"/>
      <c r="O36" s="10"/>
      <c r="P36" s="6"/>
      <c r="Q36" s="6"/>
      <c r="R36" s="37"/>
      <c r="S36" s="40"/>
      <c r="T36" s="40"/>
      <c r="U36" s="131" t="s">
        <v>38</v>
      </c>
      <c r="V36" s="38">
        <f>V28</f>
        <v>0</v>
      </c>
      <c r="W36" s="39">
        <f>W28</f>
        <v>0</v>
      </c>
      <c r="X36" s="37"/>
      <c r="Y36" s="40"/>
      <c r="Z36" s="40"/>
      <c r="AA36" s="40"/>
      <c r="AB36" s="40"/>
      <c r="AC36" s="40"/>
      <c r="AD36" s="40"/>
      <c r="AE36" s="40"/>
      <c r="AF36" s="41"/>
      <c r="AI36" s="42"/>
    </row>
    <row r="37" spans="3:35" s="5" customFormat="1" ht="13.5">
      <c r="C37" s="9"/>
      <c r="D37" s="9"/>
      <c r="E37" s="9"/>
      <c r="F37" s="9"/>
      <c r="G37" s="9"/>
      <c r="H37" s="9"/>
      <c r="N37" s="10"/>
      <c r="O37" s="10"/>
      <c r="P37" s="6"/>
      <c r="Q37" s="6"/>
      <c r="R37" s="37" t="s">
        <v>1</v>
      </c>
      <c r="S37" s="38">
        <f>SUM(S29:S34)</f>
        <v>12.653668647301796</v>
      </c>
      <c r="T37" s="39">
        <f>SUM(T29:T34)</f>
        <v>13.477590650225736</v>
      </c>
      <c r="U37" s="131" t="s">
        <v>0</v>
      </c>
      <c r="V37" s="38">
        <f>V36+S37</f>
        <v>12.653668647301796</v>
      </c>
      <c r="W37" s="39">
        <f>W36+T37</f>
        <v>13.477590650225736</v>
      </c>
      <c r="X37" s="37">
        <f>SQRT(S37*S37+T37*T37)</f>
        <v>18.48677310865151</v>
      </c>
      <c r="Y37" s="40"/>
      <c r="Z37" s="40">
        <f>IF(AND(S37=0,T37=0),0,(lf*(-S37*COS(angf)+T37*SIN(angf)))/X37+V37)</f>
        <v>12.334404594768559</v>
      </c>
      <c r="AA37" s="40">
        <f>IF(AND(S37=0,T37=0),0,V37)</f>
        <v>12.653668647301796</v>
      </c>
      <c r="AB37" s="40">
        <f>IF(AND(S37=0,T37=0),0,lf*(-S37*COS(angf)-T37*SIN(angf))/X37+V37)</f>
        <v>11.996476131293266</v>
      </c>
      <c r="AC37" s="40">
        <f>IF(AND(S37=0,T37=0),0,(lf*(-T37*COS(angf)-S37*SIN(angf)))/X37+W37)</f>
        <v>12.798937230017707</v>
      </c>
      <c r="AD37" s="40">
        <f>IF(AND(S37=0,T37=0),0,W37)</f>
        <v>13.477590650225736</v>
      </c>
      <c r="AE37" s="40">
        <f>IF(AND(S37=0,T37=0),0,lf*(-T37*COS(angf)+S37*SIN(angf))/X37+W37)</f>
        <v>13.116207201652925</v>
      </c>
      <c r="AF37" s="41"/>
      <c r="AI37" s="42"/>
    </row>
    <row r="38" spans="3:35" s="5" customFormat="1" ht="12.75">
      <c r="C38" s="9"/>
      <c r="D38" s="9"/>
      <c r="E38" s="9"/>
      <c r="F38" s="9"/>
      <c r="G38" s="9"/>
      <c r="H38" s="9"/>
      <c r="P38" s="6"/>
      <c r="Q38" s="6"/>
      <c r="R38" s="40"/>
      <c r="S38" s="40"/>
      <c r="T38" s="40"/>
      <c r="U38" s="132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/>
      <c r="AI38" s="42"/>
    </row>
    <row r="39" spans="3:35" s="5" customFormat="1" ht="15.75">
      <c r="C39" s="44" t="s">
        <v>8</v>
      </c>
      <c r="D39" s="45"/>
      <c r="E39" s="45" t="s">
        <v>9</v>
      </c>
      <c r="F39" s="9"/>
      <c r="G39" s="9"/>
      <c r="H39" s="9"/>
      <c r="P39" s="6"/>
      <c r="Q39" s="6"/>
      <c r="R39" s="9"/>
      <c r="S39" s="9"/>
      <c r="T39" s="9"/>
      <c r="U39" s="133"/>
      <c r="V39" s="12"/>
      <c r="W39" s="12"/>
      <c r="X39" s="6"/>
      <c r="Y39" s="6"/>
      <c r="Z39" s="6"/>
      <c r="AA39" s="10"/>
      <c r="AB39" s="10"/>
      <c r="AC39" s="10"/>
      <c r="AD39" s="10"/>
      <c r="AE39" s="10"/>
      <c r="AI39" s="42"/>
    </row>
    <row r="40" spans="3:35" s="5" customFormat="1" ht="12.75">
      <c r="C40" s="46">
        <f>a*SIN((0*pas)/(2*n))*aa</f>
        <v>0</v>
      </c>
      <c r="D40" s="47"/>
      <c r="E40" s="46">
        <f>a*COS((0*pas)/(2*n))*aa</f>
        <v>4</v>
      </c>
      <c r="F40" s="9"/>
      <c r="G40" s="9"/>
      <c r="H40" s="9"/>
      <c r="P40" s="6"/>
      <c r="Q40" s="6"/>
      <c r="R40" s="6"/>
      <c r="S40" s="10"/>
      <c r="T40" s="10"/>
      <c r="U40" s="134"/>
      <c r="V40" s="10"/>
      <c r="W40" s="10"/>
      <c r="AI40" s="42"/>
    </row>
    <row r="41" spans="3:35" s="5" customFormat="1" ht="12.75">
      <c r="C41" s="46">
        <f>a*SIN((1*pas)/(2*n))*aa</f>
        <v>0.23548321460475613</v>
      </c>
      <c r="D41" s="46">
        <f>a*SIN((1*pas)/(2*n))*aa</f>
        <v>0.23548321460475613</v>
      </c>
      <c r="E41" s="46">
        <f>a*COS((1*pas)/(2*n))*aa</f>
        <v>3.9930624407388637</v>
      </c>
      <c r="F41" s="9"/>
      <c r="G41" s="9"/>
      <c r="H41" s="9"/>
      <c r="P41" s="6"/>
      <c r="Q41" s="6"/>
      <c r="R41" s="6"/>
      <c r="S41" s="10"/>
      <c r="T41" s="10"/>
      <c r="U41" s="134"/>
      <c r="V41" s="10"/>
      <c r="W41" s="10"/>
      <c r="AI41" s="10"/>
    </row>
    <row r="42" spans="3:35" s="5" customFormat="1" ht="12.75">
      <c r="C42" s="46">
        <f>a*SIN((2*pas)/(2*n))*aa</f>
        <v>0.4701495898313506</v>
      </c>
      <c r="D42" s="46">
        <f>a*SIN((2*pas)/(2*n))*aa</f>
        <v>0.4701495898313506</v>
      </c>
      <c r="E42" s="46">
        <f>a*COS((2*pas)/(2*n))*aa</f>
        <v>3.972273827819705</v>
      </c>
      <c r="F42" s="9"/>
      <c r="G42" s="9"/>
      <c r="H42" s="9"/>
      <c r="P42" s="2"/>
      <c r="Q42" s="6"/>
      <c r="R42" s="6"/>
      <c r="S42" s="10"/>
      <c r="T42" s="10"/>
      <c r="U42" s="134"/>
      <c r="V42" s="10"/>
      <c r="W42" s="10"/>
      <c r="AI42" s="10"/>
    </row>
    <row r="43" spans="3:35" s="5" customFormat="1" ht="12.75">
      <c r="C43" s="46">
        <f>a*SIN((3*pas)/(2*n))*aa</f>
        <v>0.703185119737418</v>
      </c>
      <c r="D43" s="46">
        <f>a*SIN((3*pas)/(2*n))*aa</f>
        <v>0.703185119737418</v>
      </c>
      <c r="E43" s="46">
        <f>a*COS((3*pas)/(2*n))*aa</f>
        <v>3.9377062723595664</v>
      </c>
      <c r="P43" s="2"/>
      <c r="Q43" s="6"/>
      <c r="R43" s="6"/>
      <c r="S43" s="10"/>
      <c r="T43" s="10"/>
      <c r="U43" s="134"/>
      <c r="V43" s="10"/>
      <c r="W43" s="10"/>
      <c r="AI43" s="10"/>
    </row>
    <row r="44" spans="3:35" s="5" customFormat="1" ht="12.75">
      <c r="C44" s="46">
        <f>a*SIN((4*pas)/(2*n))*aa</f>
        <v>0.9337814554236216</v>
      </c>
      <c r="D44" s="46">
        <f>a*SIN((4*pas)/(2*n))*aa</f>
        <v>0.9337814554236216</v>
      </c>
      <c r="E44" s="46">
        <f>a*COS((4*pas)/(2*n))*aa</f>
        <v>3.8894796815907062</v>
      </c>
      <c r="P44" s="2"/>
      <c r="Q44" s="6"/>
      <c r="R44" s="2"/>
      <c r="U44" s="127"/>
      <c r="AI44" s="10"/>
    </row>
    <row r="45" spans="3:35" s="5" customFormat="1" ht="12.75">
      <c r="C45" s="46">
        <f>a*SIN((5*pas)/(2*n))*aa</f>
        <v>1.1611387090178493</v>
      </c>
      <c r="D45" s="46">
        <f>a*SIN((5*pas)/(2*n))*aa</f>
        <v>1.1611387090178493</v>
      </c>
      <c r="E45" s="46">
        <f>a*COS((5*pas)/(2*n))*aa</f>
        <v>3.8277613429288353</v>
      </c>
      <c r="P45" s="2"/>
      <c r="Q45" s="6"/>
      <c r="R45" s="2"/>
      <c r="U45" s="127"/>
      <c r="AI45" s="10"/>
    </row>
    <row r="46" spans="3:35" s="5" customFormat="1" ht="12.75">
      <c r="C46" s="46">
        <f>a*SIN((6*pas)/(2*n))*aa</f>
        <v>1.3844682283099718</v>
      </c>
      <c r="D46" s="46">
        <f>a*SIN((6*pas)/(2*n))*aa</f>
        <v>1.3844682283099718</v>
      </c>
      <c r="E46" s="46">
        <f>a*COS((6*pas)/(2*n))*aa</f>
        <v>3.7527653436899366</v>
      </c>
      <c r="P46" s="2"/>
      <c r="Q46" s="6"/>
      <c r="R46" s="2"/>
      <c r="U46" s="127"/>
      <c r="AI46" s="10"/>
    </row>
    <row r="47" spans="3:35" s="5" customFormat="1" ht="12.75">
      <c r="C47" s="46">
        <f>a*SIN((7*pas)/(2*n))*aa</f>
        <v>1.6029953324125639</v>
      </c>
      <c r="D47" s="46">
        <f>a*SIN((7*pas)/(2*n))*aa</f>
        <v>1.6029953324125639</v>
      </c>
      <c r="E47" s="46">
        <f>a*COS((7*pas)/(2*n))*aa</f>
        <v>3.664751828468544</v>
      </c>
      <c r="I47" s="28"/>
      <c r="J47" s="46"/>
      <c r="K47" s="9"/>
      <c r="L47" s="9"/>
      <c r="M47" s="9"/>
      <c r="N47" s="12"/>
      <c r="O47" s="12"/>
      <c r="P47" s="2"/>
      <c r="Q47" s="6"/>
      <c r="R47" s="2"/>
      <c r="U47" s="127"/>
      <c r="AI47" s="10"/>
    </row>
    <row r="48" spans="3:35" s="5" customFormat="1" ht="12.75">
      <c r="C48" s="46">
        <f>a*SIN((8*pas)/(2*n))*aa</f>
        <v>1.815961998958187</v>
      </c>
      <c r="D48" s="46">
        <f>a*SIN((8*pas)/(2*n))*aa</f>
        <v>1.815961998958187</v>
      </c>
      <c r="E48" s="46">
        <f>a*COS((8*pas)/(2*n))*aa</f>
        <v>3.5640260967534716</v>
      </c>
      <c r="I48" s="48"/>
      <c r="J48" s="48"/>
      <c r="K48" s="9"/>
      <c r="L48" s="9"/>
      <c r="M48" s="9"/>
      <c r="N48" s="12"/>
      <c r="O48" s="12"/>
      <c r="P48" s="2"/>
      <c r="Q48" s="6"/>
      <c r="R48" s="2"/>
      <c r="U48" s="127"/>
      <c r="AI48" s="10"/>
    </row>
    <row r="49" spans="3:35" s="5" customFormat="1" ht="12.75">
      <c r="C49" s="46">
        <f>a*SIN((9*pas)/(2*n))*aa</f>
        <v>2.022629493511938</v>
      </c>
      <c r="D49" s="46">
        <f>a*SIN((9*pas)/(2*n))*aa</f>
        <v>2.022629493511938</v>
      </c>
      <c r="E49" s="46">
        <f>a*COS((9*pas)/(2*n))*aa</f>
        <v>3.4509375439111674</v>
      </c>
      <c r="I49" s="49"/>
      <c r="J49" s="49"/>
      <c r="K49" s="9"/>
      <c r="L49" s="9"/>
      <c r="M49" s="9"/>
      <c r="N49" s="12"/>
      <c r="O49" s="12"/>
      <c r="P49" s="2"/>
      <c r="Q49" s="6"/>
      <c r="R49" s="2"/>
      <c r="U49" s="127"/>
      <c r="AI49" s="10"/>
    </row>
    <row r="50" spans="3:35" s="5" customFormat="1" ht="12.75">
      <c r="C50" s="46">
        <f>a*SIN((10*pas)/(2*n))*aa</f>
        <v>2.2222809320784087</v>
      </c>
      <c r="D50" s="46">
        <f>a*SIN((10*pas)/(2*n))*aa</f>
        <v>2.2222809320784087</v>
      </c>
      <c r="E50" s="46">
        <f>a*COS((10*pas)/(2*n))*aa</f>
        <v>3.325878449210181</v>
      </c>
      <c r="I50" s="49"/>
      <c r="J50" s="49"/>
      <c r="K50" s="9"/>
      <c r="L50" s="9"/>
      <c r="M50" s="9"/>
      <c r="N50" s="12"/>
      <c r="O50" s="12"/>
      <c r="P50" s="2"/>
      <c r="Q50" s="6"/>
      <c r="R50" s="2"/>
      <c r="U50" s="127"/>
      <c r="AI50" s="10"/>
    </row>
    <row r="51" spans="3:35" s="5" customFormat="1" ht="12.75">
      <c r="C51" s="46">
        <f>a*SIN((11*pas)/(2*n))*aa</f>
        <v>2.4142237678142857</v>
      </c>
      <c r="D51" s="46">
        <f>a*SIN((11*pas)/(2*n))*aa</f>
        <v>2.4142237678142857</v>
      </c>
      <c r="E51" s="46">
        <f>a*COS((11*pas)/(2*n))*aa</f>
        <v>3.1892826150908284</v>
      </c>
      <c r="I51" s="48"/>
      <c r="J51" s="48"/>
      <c r="K51" s="9"/>
      <c r="L51" s="9"/>
      <c r="M51" s="9"/>
      <c r="N51" s="12"/>
      <c r="O51" s="12"/>
      <c r="P51" s="2"/>
      <c r="Q51" s="6"/>
      <c r="R51" s="2"/>
      <c r="U51" s="127"/>
      <c r="AI51" s="10"/>
    </row>
    <row r="52" spans="3:35" s="5" customFormat="1" ht="12.75">
      <c r="C52" s="46">
        <f>a*SIN((12*pas)/(2*n))*aa</f>
        <v>2.5977921933207346</v>
      </c>
      <c r="D52" s="46">
        <f>a*SIN((12*pas)/(2*n))*aa</f>
        <v>2.5977921933207346</v>
      </c>
      <c r="E52" s="46">
        <f>a*COS((12*pas)/(2*n))*aa</f>
        <v>3.0416238624001237</v>
      </c>
      <c r="I52" s="49"/>
      <c r="J52" s="49"/>
      <c r="K52" s="9"/>
      <c r="L52" s="9"/>
      <c r="M52" s="9"/>
      <c r="N52" s="12"/>
      <c r="O52" s="12"/>
      <c r="P52" s="2"/>
      <c r="Q52" s="6"/>
      <c r="R52" s="2"/>
      <c r="U52" s="127"/>
      <c r="AI52" s="10"/>
    </row>
    <row r="53" spans="3:35" s="5" customFormat="1" ht="12.75">
      <c r="C53" s="46">
        <f>a*SIN((13*pas)/(2*n))*aa</f>
        <v>2.7723494501825434</v>
      </c>
      <c r="D53" s="46">
        <f>a*SIN((13*pas)/(2*n))*aa</f>
        <v>2.7723494501825434</v>
      </c>
      <c r="E53" s="46">
        <f>a*COS((13*pas)/(2*n))*aa</f>
        <v>2.8834143868116753</v>
      </c>
      <c r="I53" s="49"/>
      <c r="J53" s="49"/>
      <c r="K53" s="9"/>
      <c r="L53" s="9"/>
      <c r="M53" s="9"/>
      <c r="N53" s="12"/>
      <c r="O53" s="12"/>
      <c r="P53" s="2"/>
      <c r="Q53" s="6"/>
      <c r="R53" s="2"/>
      <c r="U53" s="127"/>
      <c r="AI53" s="10"/>
    </row>
    <row r="54" spans="3:35" s="5" customFormat="1" ht="12.75">
      <c r="C54" s="46">
        <f>a*SIN((14*pas)/(2*n))*aa</f>
        <v>2.937290037742742</v>
      </c>
      <c r="D54" s="46">
        <f>a*SIN((14*pas)/(2*n))*aa</f>
        <v>2.937290037742742</v>
      </c>
      <c r="E54" s="46">
        <f>a*COS((14*pas)/(2*n))*aa</f>
        <v>2.715202982131767</v>
      </c>
      <c r="O54" s="12"/>
      <c r="P54" s="2"/>
      <c r="Q54" s="6"/>
      <c r="R54" s="2"/>
      <c r="U54" s="127"/>
      <c r="AI54" s="10"/>
    </row>
    <row r="55" spans="3:35" s="5" customFormat="1" ht="12.75">
      <c r="C55" s="46">
        <f>a*SIN((15*pas)/(2*n))*aa</f>
        <v>3.092041813450948</v>
      </c>
      <c r="D55" s="46">
        <f>a*SIN((15*pas)/(2*n))*aa</f>
        <v>3.092041813450948</v>
      </c>
      <c r="E55" s="46">
        <f>a*COS((15*pas)/(2*n))*aa</f>
        <v>2.537573136654582</v>
      </c>
      <c r="O55" s="12"/>
      <c r="P55" s="2"/>
      <c r="Q55" s="6"/>
      <c r="R55" s="2"/>
      <c r="U55" s="127"/>
      <c r="AI55" s="10"/>
    </row>
    <row r="56" spans="3:35" s="5" customFormat="1" ht="12.75">
      <c r="C56" s="46">
        <f>a*SIN((16*pas)/(2*n))*aa</f>
        <v>3.23606797749979</v>
      </c>
      <c r="D56" s="46">
        <f>a*SIN((16*pas)/(2*n))*aa</f>
        <v>3.23606797749979</v>
      </c>
      <c r="E56" s="46">
        <f>a*COS((16*pas)/(2*n))*aa</f>
        <v>2.3511410091698925</v>
      </c>
      <c r="O56" s="12"/>
      <c r="P56" s="2"/>
      <c r="Q56" s="6"/>
      <c r="R56" s="2"/>
      <c r="U56" s="127"/>
      <c r="AI56" s="10"/>
    </row>
    <row r="57" spans="3:35" s="5" customFormat="1" ht="12.75">
      <c r="C57" s="46">
        <f>a*SIN((17*pas)/(2*n))*aa</f>
        <v>3.368868934865146</v>
      </c>
      <c r="D57" s="46">
        <f>a*SIN((17*pas)/(2*n))*aa</f>
        <v>3.368868934865146</v>
      </c>
      <c r="E57" s="46">
        <f>a*COS((17*pas)/(2*n))*aa</f>
        <v>2.1565532916440007</v>
      </c>
      <c r="O57" s="12"/>
      <c r="P57" s="2"/>
      <c r="Q57" s="6"/>
      <c r="R57" s="2"/>
      <c r="U57" s="127"/>
      <c r="AI57" s="10"/>
    </row>
    <row r="58" spans="3:35" s="5" customFormat="1" ht="12.75">
      <c r="C58" s="46">
        <f>a*SIN((18*pas)/(2*n))*aa</f>
        <v>3.4899840282911883</v>
      </c>
      <c r="D58" s="46">
        <f>a*SIN((18*pas)/(2*n))*aa</f>
        <v>3.4899840282911883</v>
      </c>
      <c r="E58" s="46">
        <f>a*COS((18*pas)/(2*n))*aa</f>
        <v>1.9544849659878198</v>
      </c>
      <c r="O58" s="12"/>
      <c r="P58" s="2"/>
      <c r="Q58" s="6"/>
      <c r="R58" s="2"/>
      <c r="U58" s="127"/>
      <c r="AI58" s="10"/>
    </row>
    <row r="59" spans="3:35" s="5" customFormat="1" ht="12.75">
      <c r="C59" s="46">
        <f>a*SIN((19*pas)/(2*n))*aa</f>
        <v>3.598993136208886</v>
      </c>
      <c r="D59" s="46">
        <f>a*SIN((19*pas)/(2*n))*aa</f>
        <v>3.598993136208886</v>
      </c>
      <c r="E59" s="46">
        <f>a*COS((19*pas)/(2*n))*aa</f>
        <v>1.745636962693368</v>
      </c>
      <c r="O59" s="12"/>
      <c r="P59" s="2"/>
      <c r="Q59" s="6"/>
      <c r="R59" s="2"/>
      <c r="U59" s="127"/>
      <c r="AI59" s="10"/>
    </row>
    <row r="60" spans="3:35" s="5" customFormat="1" ht="12.75">
      <c r="C60" s="46">
        <f>a*SIN((20*pas)/(2*n))*aa</f>
        <v>3.695518130045147</v>
      </c>
      <c r="D60" s="46">
        <f>a*SIN((20*pas)/(2*n))*aa</f>
        <v>3.695518130045147</v>
      </c>
      <c r="E60" s="46">
        <f>a*COS((20*pas)/(2*n))*aa</f>
        <v>1.5307337294603593</v>
      </c>
      <c r="O60" s="12"/>
      <c r="P60" s="2"/>
      <c r="Q60" s="6"/>
      <c r="R60" s="2"/>
      <c r="U60" s="127"/>
      <c r="AI60" s="10"/>
    </row>
    <row r="61" spans="3:35" s="5" customFormat="1" ht="12.75">
      <c r="C61" s="46"/>
      <c r="D61" s="46"/>
      <c r="E61" s="46"/>
      <c r="O61" s="12"/>
      <c r="P61" s="2"/>
      <c r="Q61" s="6"/>
      <c r="R61" s="2"/>
      <c r="U61" s="127"/>
      <c r="AI61" s="10"/>
    </row>
    <row r="62" spans="3:35" s="5" customFormat="1" ht="12.75">
      <c r="C62" s="46"/>
      <c r="D62" s="9"/>
      <c r="E62" s="46"/>
      <c r="O62" s="12"/>
      <c r="P62" s="2"/>
      <c r="Q62" s="6"/>
      <c r="R62" s="2"/>
      <c r="U62" s="127"/>
      <c r="AI62" s="10"/>
    </row>
    <row r="63" spans="15:35" s="5" customFormat="1" ht="12.75">
      <c r="O63" s="12"/>
      <c r="P63" s="9"/>
      <c r="Q63" s="9"/>
      <c r="T63" s="12"/>
      <c r="U63" s="135">
        <f>PI()/n</f>
        <v>1.1780972450961724</v>
      </c>
      <c r="V63" s="6"/>
      <c r="AI63" s="10"/>
    </row>
    <row r="64" spans="15:35" s="5" customFormat="1" ht="12.75">
      <c r="O64" s="12"/>
      <c r="P64" s="11"/>
      <c r="Q64" s="11"/>
      <c r="R64" s="13"/>
      <c r="S64" s="13"/>
      <c r="T64" s="13"/>
      <c r="U64" s="136"/>
      <c r="V64" s="15"/>
      <c r="AI64" s="10"/>
    </row>
    <row r="65" spans="15:35" s="5" customFormat="1" ht="12.75">
      <c r="O65" s="12"/>
      <c r="P65" s="11"/>
      <c r="Q65" s="11"/>
      <c r="R65" s="11"/>
      <c r="S65" s="13"/>
      <c r="T65" s="13"/>
      <c r="U65" s="137"/>
      <c r="V65" s="17"/>
      <c r="AI65" s="10"/>
    </row>
    <row r="66" spans="15:35" s="5" customFormat="1" ht="12.75">
      <c r="O66" s="50"/>
      <c r="P66" s="11"/>
      <c r="Q66" s="11"/>
      <c r="R66" s="11"/>
      <c r="S66" s="13"/>
      <c r="T66" s="19"/>
      <c r="U66" s="138"/>
      <c r="V66" s="15"/>
      <c r="AI66" s="10"/>
    </row>
    <row r="67" spans="10:35" s="5" customFormat="1" ht="12.75">
      <c r="J67" s="9"/>
      <c r="K67" s="9"/>
      <c r="L67" s="51"/>
      <c r="M67" s="12"/>
      <c r="N67" s="12"/>
      <c r="O67" s="12"/>
      <c r="P67" s="52"/>
      <c r="Q67" s="13"/>
      <c r="R67" s="13"/>
      <c r="S67" s="13"/>
      <c r="T67" s="19"/>
      <c r="U67" s="137"/>
      <c r="V67" s="15"/>
      <c r="AI67" s="10"/>
    </row>
    <row r="68" spans="10:35" s="5" customFormat="1" ht="15">
      <c r="J68" s="9"/>
      <c r="K68" s="9"/>
      <c r="L68" s="53"/>
      <c r="M68" s="11"/>
      <c r="N68" s="11"/>
      <c r="O68" s="11"/>
      <c r="P68" s="11"/>
      <c r="Q68" s="54"/>
      <c r="R68" s="54"/>
      <c r="S68" s="54"/>
      <c r="T68" s="19">
        <v>2</v>
      </c>
      <c r="U68" s="137"/>
      <c r="V68" s="15"/>
      <c r="AI68" s="10"/>
    </row>
    <row r="69" spans="10:35" s="5" customFormat="1" ht="15">
      <c r="J69" s="9"/>
      <c r="K69" s="9"/>
      <c r="L69" s="53"/>
      <c r="M69" s="11"/>
      <c r="N69" s="11"/>
      <c r="O69" s="11"/>
      <c r="P69" s="11"/>
      <c r="Q69" s="54"/>
      <c r="R69" s="54"/>
      <c r="S69" s="54"/>
      <c r="T69" s="19"/>
      <c r="U69" s="137"/>
      <c r="V69" s="15"/>
      <c r="AI69" s="10"/>
    </row>
    <row r="70" spans="10:35" s="5" customFormat="1" ht="15">
      <c r="J70" s="9"/>
      <c r="K70" s="9"/>
      <c r="L70" s="53"/>
      <c r="M70" s="11"/>
      <c r="N70" s="11"/>
      <c r="O70" s="11"/>
      <c r="P70" s="11"/>
      <c r="Q70" s="54"/>
      <c r="R70" s="54"/>
      <c r="S70" s="54"/>
      <c r="T70" s="55">
        <f>IF(AA3=1,"P /",AA3)</f>
        <v>3</v>
      </c>
      <c r="U70" s="128"/>
      <c r="V70" s="15"/>
      <c r="AI70" s="10"/>
    </row>
    <row r="71" spans="10:35" s="5" customFormat="1" ht="15">
      <c r="J71" s="9"/>
      <c r="K71" s="9"/>
      <c r="L71" s="56"/>
      <c r="M71" s="11"/>
      <c r="N71" s="11"/>
      <c r="O71" s="11"/>
      <c r="P71" s="11"/>
      <c r="Q71" s="54"/>
      <c r="R71" s="54"/>
      <c r="S71" s="54"/>
      <c r="T71" s="57">
        <f>IF(AA4=1," ",AA4)</f>
        <v>8</v>
      </c>
      <c r="U71" s="128"/>
      <c r="V71" s="58">
        <f>1/(AA3/AA4)</f>
        <v>2.6666666666666665</v>
      </c>
      <c r="AI71" s="10"/>
    </row>
    <row r="72" spans="10:35" s="5" customFormat="1" ht="12.75">
      <c r="J72" s="9"/>
      <c r="K72" s="9"/>
      <c r="L72" s="59"/>
      <c r="M72" s="11"/>
      <c r="N72" s="11"/>
      <c r="O72" s="60"/>
      <c r="P72" s="11"/>
      <c r="Q72" s="11"/>
      <c r="R72" s="9"/>
      <c r="S72" s="12"/>
      <c r="T72" s="12"/>
      <c r="U72" s="139"/>
      <c r="V72" s="15"/>
      <c r="AI72" s="10"/>
    </row>
    <row r="73" spans="10:35" s="5" customFormat="1" ht="12.75">
      <c r="J73" s="9"/>
      <c r="K73" s="9"/>
      <c r="L73" s="11"/>
      <c r="M73" s="11"/>
      <c r="N73" s="11"/>
      <c r="O73" s="11"/>
      <c r="P73" s="11"/>
      <c r="Q73" s="11"/>
      <c r="R73" s="9"/>
      <c r="S73" s="12"/>
      <c r="T73" s="12"/>
      <c r="U73" s="139"/>
      <c r="V73" s="15"/>
      <c r="AI73" s="10"/>
    </row>
    <row r="74" spans="10:35" s="5" customFormat="1" ht="12.75">
      <c r="J74" s="9"/>
      <c r="K74" s="9"/>
      <c r="L74" s="11"/>
      <c r="M74" s="11"/>
      <c r="N74" s="11"/>
      <c r="O74" s="11"/>
      <c r="P74" s="11"/>
      <c r="Q74" s="11"/>
      <c r="R74" s="9"/>
      <c r="S74" s="12"/>
      <c r="T74" s="12"/>
      <c r="U74" s="139"/>
      <c r="V74" s="15"/>
      <c r="AI74" s="10"/>
    </row>
    <row r="75" spans="10:35" s="5" customFormat="1" ht="12.75">
      <c r="J75" s="9"/>
      <c r="K75" s="9"/>
      <c r="L75" s="11"/>
      <c r="M75" s="11"/>
      <c r="N75" s="11"/>
      <c r="O75" s="11"/>
      <c r="P75" s="11"/>
      <c r="Q75" s="11"/>
      <c r="R75" s="9"/>
      <c r="S75" s="12"/>
      <c r="T75" s="12"/>
      <c r="U75" s="139"/>
      <c r="V75" s="15"/>
      <c r="AI75" s="10"/>
    </row>
    <row r="76" spans="10:35" s="5" customFormat="1" ht="12.75">
      <c r="J76" s="9"/>
      <c r="K76" s="9"/>
      <c r="L76" s="11"/>
      <c r="M76" s="11"/>
      <c r="N76" s="11"/>
      <c r="O76" s="11"/>
      <c r="P76" s="11"/>
      <c r="Q76" s="11"/>
      <c r="R76" s="11"/>
      <c r="S76" s="11"/>
      <c r="T76" s="11"/>
      <c r="U76" s="140"/>
      <c r="V76" s="15"/>
      <c r="AI76" s="10"/>
    </row>
    <row r="77" spans="10:35" s="5" customFormat="1" ht="12.75">
      <c r="J77" s="9"/>
      <c r="K77" s="9"/>
      <c r="L77" s="11"/>
      <c r="M77" s="11"/>
      <c r="N77" s="11"/>
      <c r="O77" s="11"/>
      <c r="P77" s="11"/>
      <c r="Q77" s="11"/>
      <c r="R77" s="11"/>
      <c r="S77" s="11"/>
      <c r="T77" s="11"/>
      <c r="U77" s="140"/>
      <c r="V77" s="15"/>
      <c r="AI77" s="10"/>
    </row>
    <row r="78" spans="10:35" s="5" customFormat="1" ht="12.75">
      <c r="J78" s="9"/>
      <c r="K78" s="9"/>
      <c r="L78" s="11"/>
      <c r="M78" s="11"/>
      <c r="N78" s="11"/>
      <c r="O78" s="11"/>
      <c r="P78" s="11"/>
      <c r="Q78" s="11"/>
      <c r="R78" s="12"/>
      <c r="S78" s="61"/>
      <c r="T78" s="12"/>
      <c r="U78" s="139"/>
      <c r="V78" s="15"/>
      <c r="AI78" s="10"/>
    </row>
    <row r="79" spans="10:35" s="5" customFormat="1" ht="15.75">
      <c r="J79" s="9"/>
      <c r="K79" s="9"/>
      <c r="L79" s="11"/>
      <c r="M79" s="11"/>
      <c r="N79" s="11"/>
      <c r="O79" s="11"/>
      <c r="P79" s="11"/>
      <c r="Q79" s="19">
        <f>3.1419/25</f>
        <v>0.125676</v>
      </c>
      <c r="R79" s="45"/>
      <c r="S79" s="62"/>
      <c r="T79" s="62"/>
      <c r="U79" s="141"/>
      <c r="V79" s="15"/>
      <c r="AI79" s="10"/>
    </row>
    <row r="80" spans="3:35" s="5" customFormat="1" ht="15.75">
      <c r="C80" s="9"/>
      <c r="D80" s="9"/>
      <c r="E80" s="9"/>
      <c r="F80" s="9"/>
      <c r="G80" s="9"/>
      <c r="H80" s="9"/>
      <c r="J80" s="9"/>
      <c r="K80" s="9"/>
      <c r="L80" s="11"/>
      <c r="M80" s="11"/>
      <c r="N80" s="11"/>
      <c r="O80" s="11"/>
      <c r="P80" s="11"/>
      <c r="Q80" s="11"/>
      <c r="R80" s="45"/>
      <c r="S80" s="64"/>
      <c r="T80" s="65"/>
      <c r="U80" s="142"/>
      <c r="V80" s="15"/>
      <c r="AI80" s="10"/>
    </row>
    <row r="81" spans="3:35" s="5" customFormat="1" ht="15.75">
      <c r="C81" s="9"/>
      <c r="D81" s="9"/>
      <c r="E81" s="9"/>
      <c r="F81" s="9"/>
      <c r="G81" s="9"/>
      <c r="H81" s="9"/>
      <c r="J81" s="9"/>
      <c r="K81" s="9"/>
      <c r="L81" s="11"/>
      <c r="M81" s="11"/>
      <c r="N81" s="11"/>
      <c r="O81" s="11"/>
      <c r="P81" s="11"/>
      <c r="Q81" s="11"/>
      <c r="R81" s="45"/>
      <c r="S81" s="64"/>
      <c r="T81" s="65"/>
      <c r="U81" s="142"/>
      <c r="V81" s="15"/>
      <c r="AI81" s="10"/>
    </row>
    <row r="82" spans="3:35" s="5" customFormat="1" ht="12.75">
      <c r="C82" s="9"/>
      <c r="D82" s="9"/>
      <c r="E82" s="9"/>
      <c r="F82" s="9"/>
      <c r="G82" s="9"/>
      <c r="H82" s="9"/>
      <c r="J82" s="9"/>
      <c r="K82" s="9"/>
      <c r="L82" s="11"/>
      <c r="M82" s="11"/>
      <c r="N82" s="11"/>
      <c r="O82" s="11"/>
      <c r="P82" s="11"/>
      <c r="Q82" s="11"/>
      <c r="R82" s="19"/>
      <c r="S82" s="19"/>
      <c r="T82" s="19"/>
      <c r="U82" s="137"/>
      <c r="V82" s="15"/>
      <c r="AI82" s="10"/>
    </row>
    <row r="83" spans="3:35" s="5" customFormat="1" ht="15">
      <c r="C83" s="9"/>
      <c r="D83" s="9"/>
      <c r="E83" s="9"/>
      <c r="F83" s="9"/>
      <c r="G83" s="9"/>
      <c r="H83" s="9"/>
      <c r="J83" s="9"/>
      <c r="K83" s="9"/>
      <c r="L83" s="11"/>
      <c r="M83" s="11"/>
      <c r="N83" s="11"/>
      <c r="O83" s="13"/>
      <c r="P83" s="11"/>
      <c r="Q83" s="11"/>
      <c r="R83" s="66"/>
      <c r="S83" s="66"/>
      <c r="T83" s="66"/>
      <c r="U83" s="143"/>
      <c r="V83" s="15"/>
      <c r="AI83" s="10"/>
    </row>
    <row r="84" spans="3:35" s="5" customFormat="1" ht="15">
      <c r="C84" s="9"/>
      <c r="D84" s="9"/>
      <c r="E84" s="9"/>
      <c r="F84" s="9"/>
      <c r="G84" s="9"/>
      <c r="H84" s="9"/>
      <c r="J84" s="9"/>
      <c r="K84" s="9"/>
      <c r="L84" s="11"/>
      <c r="M84" s="11"/>
      <c r="N84" s="11"/>
      <c r="O84" s="11">
        <f>PI()/12</f>
        <v>0.2617993877991494</v>
      </c>
      <c r="P84" s="11"/>
      <c r="Q84" s="11"/>
      <c r="R84" s="66"/>
      <c r="S84" s="66"/>
      <c r="T84" s="66"/>
      <c r="U84" s="143"/>
      <c r="V84" s="15"/>
      <c r="AI84" s="10"/>
    </row>
    <row r="85" spans="3:35" s="5" customFormat="1" ht="15">
      <c r="C85" s="9"/>
      <c r="D85" s="9"/>
      <c r="E85" s="9"/>
      <c r="F85" s="9"/>
      <c r="G85" s="9"/>
      <c r="H85" s="9"/>
      <c r="J85" s="9"/>
      <c r="K85" s="9"/>
      <c r="L85" s="11"/>
      <c r="M85" s="11"/>
      <c r="N85" s="11"/>
      <c r="O85" s="11">
        <v>172</v>
      </c>
      <c r="P85" s="13"/>
      <c r="Q85" s="13"/>
      <c r="R85" s="66"/>
      <c r="S85" s="66"/>
      <c r="T85" s="66"/>
      <c r="U85" s="143"/>
      <c r="V85" s="15"/>
      <c r="AI85" s="10"/>
    </row>
    <row r="86" spans="3:35" s="5" customFormat="1" ht="12.75">
      <c r="C86" s="9"/>
      <c r="D86" s="9"/>
      <c r="E86" s="9"/>
      <c r="F86" s="9"/>
      <c r="G86" s="9"/>
      <c r="H86" s="9"/>
      <c r="J86" s="9"/>
      <c r="K86" s="9"/>
      <c r="L86" s="11"/>
      <c r="M86" s="11"/>
      <c r="N86" s="11"/>
      <c r="O86" s="13"/>
      <c r="P86" s="13"/>
      <c r="Q86" s="13"/>
      <c r="R86" s="13"/>
      <c r="S86" s="13"/>
      <c r="T86" s="16"/>
      <c r="U86" s="144"/>
      <c r="V86" s="15"/>
      <c r="AI86" s="10"/>
    </row>
    <row r="87" spans="3:35" s="5" customFormat="1" ht="12.75">
      <c r="C87" s="9"/>
      <c r="D87" s="9"/>
      <c r="E87" s="9"/>
      <c r="F87" s="9"/>
      <c r="G87" s="9"/>
      <c r="H87" s="9"/>
      <c r="J87" s="9"/>
      <c r="K87" s="9"/>
      <c r="L87" s="11"/>
      <c r="M87" s="11"/>
      <c r="N87" s="11"/>
      <c r="O87" s="11"/>
      <c r="P87" s="13"/>
      <c r="Q87" s="13"/>
      <c r="R87" s="13"/>
      <c r="S87" s="13"/>
      <c r="T87" s="16"/>
      <c r="U87" s="144"/>
      <c r="V87" s="15"/>
      <c r="AI87" s="10"/>
    </row>
    <row r="88" spans="3:35" s="5" customFormat="1" ht="12.75">
      <c r="C88" s="9"/>
      <c r="D88" s="9"/>
      <c r="E88" s="9"/>
      <c r="F88" s="9"/>
      <c r="G88" s="46">
        <v>0.5</v>
      </c>
      <c r="H88" s="47"/>
      <c r="J88" s="9"/>
      <c r="K88" s="9"/>
      <c r="L88" s="11"/>
      <c r="M88" s="11"/>
      <c r="N88" s="11"/>
      <c r="O88" s="13"/>
      <c r="P88" s="13"/>
      <c r="Q88" s="13"/>
      <c r="R88" s="13"/>
      <c r="S88" s="13"/>
      <c r="T88" s="16"/>
      <c r="U88" s="144"/>
      <c r="V88" s="15"/>
      <c r="AI88" s="10"/>
    </row>
    <row r="89" spans="3:35" s="5" customFormat="1" ht="12.75">
      <c r="C89" s="9"/>
      <c r="D89" s="9"/>
      <c r="E89" s="9"/>
      <c r="F89" s="9"/>
      <c r="G89" s="9"/>
      <c r="H89" s="9"/>
      <c r="J89" s="9"/>
      <c r="K89" s="9"/>
      <c r="L89" s="11"/>
      <c r="M89" s="11"/>
      <c r="N89" s="11"/>
      <c r="O89" s="13"/>
      <c r="P89" s="13"/>
      <c r="Q89" s="13"/>
      <c r="R89" s="13"/>
      <c r="S89" s="13"/>
      <c r="T89" s="16"/>
      <c r="U89" s="144"/>
      <c r="V89" s="15"/>
      <c r="AI89" s="10"/>
    </row>
    <row r="90" spans="3:35" s="5" customFormat="1" ht="12.75">
      <c r="C90" s="9"/>
      <c r="D90" s="9"/>
      <c r="E90" s="9"/>
      <c r="F90" s="9"/>
      <c r="G90" s="9"/>
      <c r="H90" s="9"/>
      <c r="J90" s="9"/>
      <c r="K90" s="9"/>
      <c r="L90" s="9"/>
      <c r="M90" s="9"/>
      <c r="N90" s="12"/>
      <c r="O90" s="12"/>
      <c r="P90" s="6"/>
      <c r="Q90" s="6"/>
      <c r="R90" s="2"/>
      <c r="U90" s="127"/>
      <c r="AI90" s="10"/>
    </row>
    <row r="91" spans="6:35" ht="15.75">
      <c r="F91" s="11"/>
      <c r="G91" s="67" t="s">
        <v>8</v>
      </c>
      <c r="H91" s="68"/>
      <c r="J91" s="11"/>
      <c r="K91" s="11"/>
      <c r="L91" s="11"/>
      <c r="M91" s="11"/>
      <c r="N91" s="19"/>
      <c r="O91" s="19"/>
      <c r="AI91" s="16"/>
    </row>
    <row r="92" spans="6:35" ht="12.75">
      <c r="F92" s="11"/>
      <c r="G92" s="70">
        <f>0*Q3</f>
        <v>0</v>
      </c>
      <c r="H92" s="71"/>
      <c r="J92" s="11"/>
      <c r="K92" s="11"/>
      <c r="L92" s="11"/>
      <c r="M92" s="11"/>
      <c r="N92" s="19"/>
      <c r="O92" s="19"/>
      <c r="AI92" s="16"/>
    </row>
    <row r="93" spans="6:35" ht="12.75">
      <c r="F93" s="11"/>
      <c r="G93" s="72">
        <f>a*SIN(1*AI3)*N134</f>
        <v>6.180339887498948</v>
      </c>
      <c r="H93" s="71"/>
      <c r="J93" s="11"/>
      <c r="K93" s="11"/>
      <c r="L93" s="11"/>
      <c r="M93" s="11"/>
      <c r="N93" s="19"/>
      <c r="O93" s="19"/>
      <c r="AI93" s="16"/>
    </row>
    <row r="94" spans="6:35" ht="12.75">
      <c r="F94" s="11"/>
      <c r="G94" s="72">
        <f>a*SIN(2*AI3)*N134</f>
        <v>11.755705045849464</v>
      </c>
      <c r="H94" s="71"/>
      <c r="J94" s="11"/>
      <c r="K94" s="11"/>
      <c r="L94" s="11"/>
      <c r="M94" s="11"/>
      <c r="N94" s="19"/>
      <c r="O94" s="19"/>
      <c r="AI94" s="16"/>
    </row>
    <row r="95" spans="6:35" ht="12.75">
      <c r="F95" s="11"/>
      <c r="G95" s="72">
        <f>a*SIN(3*AI3)*N134</f>
        <v>16.18033988749895</v>
      </c>
      <c r="H95" s="71"/>
      <c r="J95" s="11"/>
      <c r="K95" s="11"/>
      <c r="L95" s="11"/>
      <c r="M95" s="11"/>
      <c r="N95" s="19"/>
      <c r="O95" s="19"/>
      <c r="AI95" s="16"/>
    </row>
    <row r="96" spans="6:35" ht="12.75">
      <c r="F96" s="11"/>
      <c r="G96" s="72">
        <f>(SQRT(3)/2)*N134</f>
        <v>8.660254037844386</v>
      </c>
      <c r="H96" s="71"/>
      <c r="J96" s="11"/>
      <c r="K96" s="11"/>
      <c r="L96" s="11"/>
      <c r="M96" s="11"/>
      <c r="N96" s="19"/>
      <c r="O96" s="19"/>
      <c r="AI96" s="16"/>
    </row>
    <row r="97" spans="6:35" ht="12.75">
      <c r="F97" s="11"/>
      <c r="G97" s="72">
        <f>a*SIN(4*AI3)*N134</f>
        <v>19.02113032590307</v>
      </c>
      <c r="H97" s="71"/>
      <c r="J97" s="11"/>
      <c r="K97" s="11"/>
      <c r="L97" s="11"/>
      <c r="M97" s="11"/>
      <c r="N97" s="19"/>
      <c r="O97" s="19"/>
      <c r="AI97" s="16"/>
    </row>
    <row r="98" spans="6:35" ht="12.75">
      <c r="F98" s="11"/>
      <c r="G98" s="72">
        <f>a*SIN(5*AI3)*N134</f>
        <v>20</v>
      </c>
      <c r="H98" s="73"/>
      <c r="J98" s="11"/>
      <c r="K98" s="11"/>
      <c r="L98" s="11"/>
      <c r="M98" s="11"/>
      <c r="N98" s="19"/>
      <c r="O98" s="19"/>
      <c r="AI98" s="16"/>
    </row>
    <row r="99" spans="6:35" ht="12.75">
      <c r="F99" s="11"/>
      <c r="G99" s="72">
        <f>a*SIN(6*AI3)*N134</f>
        <v>19.021130325903073</v>
      </c>
      <c r="H99" s="71"/>
      <c r="I99" s="11"/>
      <c r="J99" s="11"/>
      <c r="K99" s="11"/>
      <c r="L99" s="11"/>
      <c r="M99" s="11"/>
      <c r="N99" s="19"/>
      <c r="O99" s="19"/>
      <c r="AI99" s="16"/>
    </row>
    <row r="100" spans="6:35" ht="12.75">
      <c r="F100" s="11"/>
      <c r="G100" s="72">
        <f>a*SIN(7*AI3)*N134</f>
        <v>16.18033988749895</v>
      </c>
      <c r="H100" s="71"/>
      <c r="I100" s="11"/>
      <c r="J100" s="11"/>
      <c r="K100" s="11"/>
      <c r="L100" s="11"/>
      <c r="M100" s="11"/>
      <c r="N100" s="19"/>
      <c r="O100" s="19"/>
      <c r="AI100" s="16"/>
    </row>
    <row r="101" spans="6:35" ht="12.75">
      <c r="F101" s="11"/>
      <c r="G101" s="72">
        <f>a*SIN(8*AI3)*N134</f>
        <v>11.755705045849465</v>
      </c>
      <c r="H101" s="71"/>
      <c r="I101" s="11"/>
      <c r="J101" s="11"/>
      <c r="K101" s="11"/>
      <c r="L101" s="11"/>
      <c r="M101" s="11"/>
      <c r="N101" s="19"/>
      <c r="O101" s="19"/>
      <c r="AI101" s="16"/>
    </row>
    <row r="102" spans="6:35" ht="12.75">
      <c r="F102" s="11"/>
      <c r="G102" s="72">
        <f>a*SIN(9*AI3)*N134</f>
        <v>6.18033988749895</v>
      </c>
      <c r="H102" s="74"/>
      <c r="I102" s="11"/>
      <c r="J102" s="11"/>
      <c r="AI102" s="16"/>
    </row>
    <row r="103" spans="6:35" ht="12.75">
      <c r="F103" s="11"/>
      <c r="G103" s="72">
        <f>a*SIN(10*AI3)*N134</f>
        <v>2.45029690981724E-15</v>
      </c>
      <c r="H103" s="74"/>
      <c r="I103" s="11"/>
      <c r="J103" s="11"/>
      <c r="AI103" s="16"/>
    </row>
    <row r="104" spans="6:35" ht="12.75">
      <c r="F104" s="11"/>
      <c r="G104" s="72">
        <f>a*SIN(11*AI3)*N134</f>
        <v>-6.1803398874989455</v>
      </c>
      <c r="H104" s="71"/>
      <c r="I104" s="11"/>
      <c r="J104" s="11"/>
      <c r="AI104" s="16"/>
    </row>
    <row r="105" spans="6:35" ht="12.75">
      <c r="F105" s="11"/>
      <c r="G105" s="72">
        <f>a*SIN(12*AI3)*N134</f>
        <v>-11.75570504584946</v>
      </c>
      <c r="H105" s="71"/>
      <c r="I105" s="11"/>
      <c r="J105" s="11"/>
      <c r="AI105" s="16"/>
    </row>
    <row r="106" spans="6:35" ht="12.75">
      <c r="F106" s="11"/>
      <c r="G106" s="72">
        <f>a*SIN(13*AI3)*N134</f>
        <v>-16.180339887498945</v>
      </c>
      <c r="H106" s="71"/>
      <c r="I106" s="11"/>
      <c r="J106" s="11"/>
      <c r="AI106" s="16"/>
    </row>
    <row r="107" spans="6:35" ht="12.75">
      <c r="F107" s="11"/>
      <c r="G107" s="72">
        <f>a*SIN(14*AI3)*N134</f>
        <v>-19.02113032590307</v>
      </c>
      <c r="H107" s="73"/>
      <c r="I107" s="75">
        <f>SQRT(3)/2</f>
        <v>0.8660254037844386</v>
      </c>
      <c r="J107" s="11"/>
      <c r="AI107" s="16"/>
    </row>
    <row r="108" spans="6:35" ht="12.75">
      <c r="F108" s="11"/>
      <c r="G108" s="72">
        <f>a*SIN(15*AI3)*N134</f>
        <v>-20</v>
      </c>
      <c r="H108" s="74"/>
      <c r="I108" s="11"/>
      <c r="J108" s="11"/>
      <c r="AI108" s="16"/>
    </row>
    <row r="109" spans="6:35" ht="12.75">
      <c r="F109" s="11"/>
      <c r="G109" s="72">
        <f>a*SIN(16*AI3)*N134</f>
        <v>-19.021130325903073</v>
      </c>
      <c r="H109" s="76"/>
      <c r="I109" s="11"/>
      <c r="J109" s="11"/>
      <c r="AI109" s="16"/>
    </row>
    <row r="110" spans="6:35" ht="15.75">
      <c r="F110" s="11"/>
      <c r="G110" s="72">
        <f>a*SIN(17*AI3)*N134</f>
        <v>-16.180339887498953</v>
      </c>
      <c r="H110" s="74"/>
      <c r="I110" s="77" t="s">
        <v>9</v>
      </c>
      <c r="J110" s="11"/>
      <c r="AI110" s="16"/>
    </row>
    <row r="111" spans="6:35" ht="12.75">
      <c r="F111" s="11"/>
      <c r="G111" s="72">
        <f>a*SIN(18*AI3)*N134</f>
        <v>-11.755705045849467</v>
      </c>
      <c r="H111" s="74"/>
      <c r="I111" s="75">
        <f>1*N134</f>
        <v>10</v>
      </c>
      <c r="J111" s="11"/>
      <c r="AI111" s="16"/>
    </row>
    <row r="112" spans="6:35" ht="12.75">
      <c r="F112" s="11"/>
      <c r="G112" s="72">
        <f>a*SIN(19*AI3)*N134</f>
        <v>-6.180339887498953</v>
      </c>
      <c r="H112" s="74"/>
      <c r="I112" s="75">
        <f>a*COS(1*AI3)*N134</f>
        <v>19.02113032590307</v>
      </c>
      <c r="J112" s="11"/>
      <c r="AI112" s="16"/>
    </row>
    <row r="113" spans="6:35" ht="12.75">
      <c r="F113" s="11"/>
      <c r="G113" s="72">
        <f>a*SIN(20*AI3)*N134</f>
        <v>-4.90059381963448E-15</v>
      </c>
      <c r="H113" s="76"/>
      <c r="I113" s="75">
        <f>a*COS(2*AI3)*N134</f>
        <v>16.18033988749895</v>
      </c>
      <c r="J113" s="11"/>
      <c r="AI113" s="16"/>
    </row>
    <row r="114" spans="6:35" ht="12.75">
      <c r="F114" s="11"/>
      <c r="G114" s="11"/>
      <c r="H114" s="11"/>
      <c r="I114" s="75">
        <f>a*COS(3*AI3)*N134</f>
        <v>11.755705045849464</v>
      </c>
      <c r="J114" s="11"/>
      <c r="AI114" s="16"/>
    </row>
    <row r="115" spans="3:35" ht="12.75">
      <c r="C115" s="11"/>
      <c r="D115" s="11"/>
      <c r="E115" s="11"/>
      <c r="F115" s="11"/>
      <c r="G115" s="11"/>
      <c r="H115" s="11"/>
      <c r="I115" s="75">
        <f>0.5*N134</f>
        <v>5</v>
      </c>
      <c r="J115" s="11"/>
      <c r="AI115" s="16"/>
    </row>
    <row r="116" spans="3:35" ht="12.75">
      <c r="C116" s="11"/>
      <c r="D116" s="11"/>
      <c r="E116" s="11"/>
      <c r="F116" s="11"/>
      <c r="G116" s="11"/>
      <c r="H116" s="11"/>
      <c r="I116" s="75">
        <f>a*COS(4*AI3)*N134</f>
        <v>6.180339887498949</v>
      </c>
      <c r="J116" s="11"/>
      <c r="AI116" s="16"/>
    </row>
    <row r="117" spans="3:35" ht="12.75">
      <c r="C117" s="11"/>
      <c r="D117" s="11"/>
      <c r="E117" s="11"/>
      <c r="F117" s="11"/>
      <c r="G117" s="11"/>
      <c r="H117" s="11"/>
      <c r="I117" s="75">
        <f>a*COS(5*AI3)*N134</f>
        <v>1.22514845490862E-15</v>
      </c>
      <c r="J117" s="11"/>
      <c r="AI117" s="16"/>
    </row>
    <row r="118" spans="3:35" ht="12.75">
      <c r="C118" s="11"/>
      <c r="D118" s="11"/>
      <c r="E118" s="11"/>
      <c r="F118" s="11"/>
      <c r="G118" s="11"/>
      <c r="H118" s="11"/>
      <c r="I118" s="75">
        <f>a*COS(6*AI3)*N134</f>
        <v>-6.180339887498947</v>
      </c>
      <c r="J118" s="11"/>
      <c r="AI118" s="16"/>
    </row>
    <row r="119" spans="3:35" ht="12.75">
      <c r="C119" s="11"/>
      <c r="D119" s="11"/>
      <c r="E119" s="11"/>
      <c r="F119" s="11"/>
      <c r="G119" s="11"/>
      <c r="H119" s="11"/>
      <c r="I119" s="75">
        <f>a*COS(7*AI3)*N134</f>
        <v>-11.75570504584946</v>
      </c>
      <c r="J119" s="11"/>
      <c r="AI119" s="16"/>
    </row>
    <row r="120" spans="3:35" ht="12.75">
      <c r="C120" s="11"/>
      <c r="D120" s="11"/>
      <c r="E120" s="11"/>
      <c r="F120" s="11"/>
      <c r="G120" s="11"/>
      <c r="H120" s="11"/>
      <c r="I120" s="75">
        <f>a*COS(8*AI3)*N134</f>
        <v>-16.180339887498945</v>
      </c>
      <c r="J120" s="11"/>
      <c r="AI120" s="16"/>
    </row>
    <row r="121" spans="3:35" ht="12.75">
      <c r="C121" s="11"/>
      <c r="D121" s="11"/>
      <c r="E121" s="11"/>
      <c r="F121" s="11"/>
      <c r="G121" s="11"/>
      <c r="H121" s="11"/>
      <c r="I121" s="75">
        <f>a*COS(9*AI3)*N134</f>
        <v>-19.02113032590307</v>
      </c>
      <c r="AI121" s="16"/>
    </row>
    <row r="122" spans="3:35" ht="12.75">
      <c r="C122" s="11"/>
      <c r="D122" s="11"/>
      <c r="E122" s="11"/>
      <c r="F122" s="11"/>
      <c r="G122" s="11"/>
      <c r="H122" s="11"/>
      <c r="I122" s="75">
        <f>a*COS(10*AI3)*N134</f>
        <v>-20</v>
      </c>
      <c r="AI122" s="16"/>
    </row>
    <row r="123" spans="3:35" ht="12.75">
      <c r="C123" s="11"/>
      <c r="D123" s="11"/>
      <c r="E123" s="11"/>
      <c r="F123" s="11"/>
      <c r="G123" s="11"/>
      <c r="H123" s="11"/>
      <c r="I123" s="75">
        <f>a*COS(11*AI3)*N134</f>
        <v>-19.021130325903073</v>
      </c>
      <c r="AI123" s="16"/>
    </row>
    <row r="124" spans="9:35" ht="12.75">
      <c r="I124" s="75">
        <f>a*COS(12*AI3)*N134</f>
        <v>-16.180339887498953</v>
      </c>
      <c r="AI124" s="16"/>
    </row>
    <row r="125" spans="9:35" ht="12.75">
      <c r="I125" s="75">
        <f>a*COS(13*AI3)*N134</f>
        <v>-11.755705045849465</v>
      </c>
      <c r="AI125" s="16"/>
    </row>
    <row r="126" spans="9:35" ht="12.75">
      <c r="I126" s="75">
        <f>a*COS(14*AI3)*N134</f>
        <v>-6.180339887498951</v>
      </c>
      <c r="AI126" s="16"/>
    </row>
    <row r="127" spans="9:35" ht="12.75">
      <c r="I127" s="75">
        <f>a*COS(15*AI3)*N134</f>
        <v>-3.67544536472586E-15</v>
      </c>
      <c r="AI127" s="16"/>
    </row>
    <row r="128" spans="9:35" ht="12.75">
      <c r="I128" s="75">
        <f>a*COS(16*AI3)*N134</f>
        <v>6.180339887498945</v>
      </c>
      <c r="AI128" s="16"/>
    </row>
    <row r="129" spans="9:35" ht="12.75">
      <c r="I129" s="75">
        <f>a*COS(17*AI3)*N134</f>
        <v>11.755705045849458</v>
      </c>
      <c r="AI129" s="16"/>
    </row>
    <row r="130" spans="9:35" ht="12.75">
      <c r="I130" s="75">
        <f>a*COS(18*AI3)*N134</f>
        <v>16.180339887498945</v>
      </c>
      <c r="J130" s="5"/>
      <c r="K130" s="5"/>
      <c r="L130" s="5"/>
      <c r="M130" s="5"/>
      <c r="N130" s="5"/>
      <c r="O130" s="10"/>
      <c r="P130" s="10"/>
      <c r="AI130" s="16"/>
    </row>
    <row r="131" spans="9:35" ht="12.75">
      <c r="I131" s="75">
        <f>a*COS(19*AI3)*N134</f>
        <v>19.02113032590307</v>
      </c>
      <c r="J131" s="5"/>
      <c r="K131" s="5"/>
      <c r="L131" s="5"/>
      <c r="M131" s="5"/>
      <c r="N131" s="5"/>
      <c r="O131" s="10"/>
      <c r="P131" s="10"/>
      <c r="AI131" s="16"/>
    </row>
    <row r="132" spans="9:35" ht="12.75">
      <c r="I132" s="75">
        <f>a*COS(20*AI3)*N134</f>
        <v>20</v>
      </c>
      <c r="J132" s="5"/>
      <c r="K132" s="5"/>
      <c r="L132" s="9"/>
      <c r="M132" s="9"/>
      <c r="N132" s="9"/>
      <c r="O132" s="12"/>
      <c r="P132" s="12"/>
      <c r="AI132" s="16"/>
    </row>
    <row r="133" spans="9:35" ht="12.75">
      <c r="I133" s="11"/>
      <c r="J133" s="5"/>
      <c r="K133" s="5"/>
      <c r="L133" s="9"/>
      <c r="M133" s="9"/>
      <c r="N133" s="9"/>
      <c r="O133" s="12"/>
      <c r="P133" s="12"/>
      <c r="AI133" s="16"/>
    </row>
    <row r="134" spans="9:35" ht="15">
      <c r="I134" s="11"/>
      <c r="J134" s="5"/>
      <c r="K134" s="5"/>
      <c r="L134" s="78" t="s">
        <v>27</v>
      </c>
      <c r="M134" s="79"/>
      <c r="N134" s="80">
        <v>10</v>
      </c>
      <c r="O134" s="12"/>
      <c r="P134" s="12"/>
      <c r="AI134" s="16"/>
    </row>
    <row r="135" spans="9:35" ht="15">
      <c r="I135" s="11"/>
      <c r="J135" s="5"/>
      <c r="K135" s="5"/>
      <c r="L135" s="78" t="s">
        <v>28</v>
      </c>
      <c r="M135" s="79"/>
      <c r="N135" s="81">
        <v>10</v>
      </c>
      <c r="O135" s="12"/>
      <c r="P135" s="12"/>
      <c r="AI135" s="16"/>
    </row>
    <row r="136" spans="9:35" ht="12.75">
      <c r="I136" s="11"/>
      <c r="J136" s="5"/>
      <c r="K136" s="5"/>
      <c r="L136" s="9"/>
      <c r="M136" s="9"/>
      <c r="N136" s="9"/>
      <c r="O136" s="12"/>
      <c r="P136" s="12"/>
      <c r="AI136" s="16"/>
    </row>
    <row r="137" spans="9:35" ht="12.75">
      <c r="I137" s="11"/>
      <c r="J137" s="5"/>
      <c r="K137" s="5"/>
      <c r="L137" s="9"/>
      <c r="M137" s="9"/>
      <c r="N137" s="9"/>
      <c r="O137" s="12"/>
      <c r="P137" s="12"/>
      <c r="AI137" s="16"/>
    </row>
    <row r="138" spans="9:35" ht="12.75">
      <c r="I138" s="11"/>
      <c r="J138" s="28"/>
      <c r="K138" s="46"/>
      <c r="L138" s="9"/>
      <c r="M138" s="9"/>
      <c r="N138" s="9"/>
      <c r="O138" s="12"/>
      <c r="P138" s="12"/>
      <c r="AI138" s="16"/>
    </row>
    <row r="139" spans="9:35" ht="12.75">
      <c r="I139" s="11"/>
      <c r="AI139" s="16"/>
    </row>
    <row r="140" spans="9:35" ht="12.75">
      <c r="I140" s="11"/>
      <c r="AI140" s="16"/>
    </row>
    <row r="141" spans="9:35" ht="12.75">
      <c r="I141" s="11"/>
      <c r="AI141" s="16"/>
    </row>
    <row r="142" spans="9:35" ht="12.75">
      <c r="I142" s="11"/>
      <c r="AI142" s="16"/>
    </row>
    <row r="143" ht="12.75">
      <c r="AI143" s="16"/>
    </row>
    <row r="144" ht="12.75">
      <c r="AI144" s="16"/>
    </row>
    <row r="145" ht="12.75">
      <c r="AI145" s="16"/>
    </row>
    <row r="146" ht="12.75">
      <c r="AI146" s="16"/>
    </row>
    <row r="147" spans="6:35" ht="12.75">
      <c r="F147" s="48"/>
      <c r="G147" s="48"/>
      <c r="H147" s="9"/>
      <c r="I147" s="9"/>
      <c r="J147" s="9"/>
      <c r="K147" s="12"/>
      <c r="AI147" s="16"/>
    </row>
    <row r="148" spans="6:35" ht="12.75">
      <c r="F148" s="49"/>
      <c r="G148" s="49"/>
      <c r="H148" s="9"/>
      <c r="I148" s="9"/>
      <c r="J148" s="9"/>
      <c r="K148" s="12"/>
      <c r="AI148" s="16"/>
    </row>
    <row r="149" spans="6:35" ht="12.75">
      <c r="F149" s="49"/>
      <c r="G149" s="49"/>
      <c r="H149" s="9"/>
      <c r="I149" s="9"/>
      <c r="J149" s="9"/>
      <c r="K149" s="12"/>
      <c r="AI149" s="16"/>
    </row>
    <row r="150" spans="6:35" ht="12.75">
      <c r="F150" s="12"/>
      <c r="G150" s="12"/>
      <c r="H150" s="9"/>
      <c r="I150" s="9"/>
      <c r="J150" s="9"/>
      <c r="K150" s="12"/>
      <c r="AI150" s="16"/>
    </row>
    <row r="151" spans="6:35" ht="12.75">
      <c r="F151" s="12"/>
      <c r="G151" s="12"/>
      <c r="H151" s="9"/>
      <c r="I151" s="46">
        <f>a*COS((20*pas)/(2*n))*N135</f>
        <v>7.653668647301797</v>
      </c>
      <c r="J151" s="28">
        <f>a*SIN((20*pas)/(2*n))*N135</f>
        <v>18.477590650225736</v>
      </c>
      <c r="K151" s="12"/>
      <c r="AI151" s="16"/>
    </row>
    <row r="152" spans="6:35" ht="12.75">
      <c r="F152" s="5"/>
      <c r="G152" s="5"/>
      <c r="H152" s="9"/>
      <c r="I152" s="46">
        <f>1*N134</f>
        <v>10</v>
      </c>
      <c r="J152" s="28">
        <f>0*N134</f>
        <v>0</v>
      </c>
      <c r="K152" s="12"/>
      <c r="AI152" s="16"/>
    </row>
    <row r="153" spans="6:35" ht="12.75">
      <c r="F153" s="5"/>
      <c r="G153" s="5"/>
      <c r="H153" s="9"/>
      <c r="I153" s="9"/>
      <c r="J153" s="9"/>
      <c r="K153" s="12"/>
      <c r="AI153" s="16"/>
    </row>
    <row r="154" spans="6:35" ht="12.75">
      <c r="F154" s="12"/>
      <c r="G154" s="12"/>
      <c r="H154" s="9"/>
      <c r="I154" s="9"/>
      <c r="J154" s="9"/>
      <c r="K154" s="12"/>
      <c r="AI154" s="16"/>
    </row>
    <row r="155" spans="6:35" ht="12.75">
      <c r="F155" s="12"/>
      <c r="G155" s="12"/>
      <c r="H155" s="9"/>
      <c r="I155" s="9"/>
      <c r="J155" s="9"/>
      <c r="K155" s="12"/>
      <c r="AI155" s="16"/>
    </row>
    <row r="156" spans="6:35" ht="12.75">
      <c r="F156" s="12">
        <v>0</v>
      </c>
      <c r="G156" s="82">
        <f>J151</f>
        <v>18.477590650225736</v>
      </c>
      <c r="H156" s="9"/>
      <c r="I156" s="83" t="s">
        <v>6</v>
      </c>
      <c r="J156" s="63">
        <v>2</v>
      </c>
      <c r="K156" s="10"/>
      <c r="AI156" s="16"/>
    </row>
    <row r="157" spans="6:35" ht="12.75">
      <c r="F157" s="5"/>
      <c r="G157" s="9"/>
      <c r="H157" s="9"/>
      <c r="I157" s="12"/>
      <c r="J157" s="10"/>
      <c r="K157" s="10"/>
      <c r="AI157" s="16"/>
    </row>
    <row r="158" spans="6:35" ht="12.75">
      <c r="F158" s="5"/>
      <c r="G158" s="9"/>
      <c r="H158" s="9"/>
      <c r="I158" s="84"/>
      <c r="J158" s="84"/>
      <c r="K158" s="84"/>
      <c r="AI158" s="16"/>
    </row>
    <row r="159" spans="6:35" ht="12.75">
      <c r="F159" s="5"/>
      <c r="G159" s="9"/>
      <c r="H159" s="9"/>
      <c r="I159" s="51"/>
      <c r="J159" s="83"/>
      <c r="K159" s="50"/>
      <c r="AI159" s="16"/>
    </row>
    <row r="160" ht="12.75">
      <c r="AI160" s="16"/>
    </row>
    <row r="161" ht="12.75">
      <c r="AI161" s="16"/>
    </row>
    <row r="162" ht="12.75">
      <c r="AI162" s="16"/>
    </row>
    <row r="163" ht="12.75">
      <c r="AI163" s="16"/>
    </row>
    <row r="164" ht="12.75">
      <c r="AI164" s="16"/>
    </row>
    <row r="165" ht="12.75">
      <c r="AI165" s="16"/>
    </row>
    <row r="166" ht="12.75">
      <c r="AI166" s="16"/>
    </row>
    <row r="167" ht="12.75">
      <c r="AI167" s="16"/>
    </row>
    <row r="168" ht="12.75">
      <c r="AI168" s="16"/>
    </row>
    <row r="169" ht="12.75">
      <c r="AI169" s="16"/>
    </row>
    <row r="170" ht="12.75">
      <c r="AI170" s="16"/>
    </row>
    <row r="171" ht="12.75">
      <c r="AI171" s="16"/>
    </row>
    <row r="172" ht="12.75">
      <c r="AI172" s="16"/>
    </row>
    <row r="173" ht="12.75">
      <c r="AI173" s="16"/>
    </row>
    <row r="174" ht="12.75">
      <c r="AI174" s="16"/>
    </row>
    <row r="175" ht="12.75">
      <c r="AI175" s="16"/>
    </row>
    <row r="176" ht="12.75">
      <c r="AI176" s="16"/>
    </row>
    <row r="177" ht="12.75">
      <c r="AI177" s="16"/>
    </row>
    <row r="178" ht="12.75">
      <c r="AI178" s="16"/>
    </row>
    <row r="179" ht="12.75">
      <c r="AI179" s="16"/>
    </row>
    <row r="180" ht="12.75">
      <c r="AI180" s="16"/>
    </row>
    <row r="181" ht="12.75">
      <c r="AI181" s="16"/>
    </row>
    <row r="182" ht="12.75">
      <c r="AI182" s="16"/>
    </row>
    <row r="183" ht="12.75">
      <c r="AI183" s="16"/>
    </row>
    <row r="184" ht="12.75">
      <c r="AI184" s="16"/>
    </row>
    <row r="185" ht="12.75">
      <c r="AI185" s="16"/>
    </row>
    <row r="186" ht="12.75">
      <c r="AI186" s="16"/>
    </row>
    <row r="187" ht="12.75">
      <c r="AI187" s="16"/>
    </row>
    <row r="188" ht="12.75">
      <c r="AI188" s="16"/>
    </row>
    <row r="189" ht="12.75">
      <c r="AI189" s="16"/>
    </row>
    <row r="190" ht="12.75">
      <c r="AI190" s="16"/>
    </row>
    <row r="191" ht="12.75">
      <c r="AI191" s="16"/>
    </row>
    <row r="192" ht="12.75">
      <c r="AI192" s="16"/>
    </row>
    <row r="193" ht="12.75">
      <c r="AI193" s="16"/>
    </row>
    <row r="194" ht="12.75">
      <c r="AI194" s="16"/>
    </row>
    <row r="195" ht="12.75">
      <c r="AI195" s="16"/>
    </row>
    <row r="196" ht="12.75">
      <c r="AI196" s="16"/>
    </row>
    <row r="197" ht="12.75">
      <c r="AI197" s="16"/>
    </row>
    <row r="198" ht="12.75">
      <c r="AI198" s="16"/>
    </row>
    <row r="199" ht="12.75">
      <c r="AI199" s="16"/>
    </row>
    <row r="200" ht="12.75">
      <c r="AI200" s="16"/>
    </row>
    <row r="201" ht="12.75">
      <c r="AI201" s="16"/>
    </row>
    <row r="202" ht="12.75">
      <c r="AI202" s="16"/>
    </row>
    <row r="203" ht="12.75">
      <c r="AI203" s="16"/>
    </row>
    <row r="204" ht="12.75">
      <c r="AI204" s="16"/>
    </row>
    <row r="205" ht="12.75">
      <c r="AI205" s="16"/>
    </row>
    <row r="206" ht="12.75">
      <c r="AI206" s="16"/>
    </row>
    <row r="207" ht="12.75">
      <c r="AI207" s="16"/>
    </row>
    <row r="208" ht="12.75">
      <c r="AI208" s="16"/>
    </row>
    <row r="209" ht="12.75">
      <c r="AI209" s="16"/>
    </row>
    <row r="210" ht="12.75">
      <c r="AI210" s="16"/>
    </row>
    <row r="211" ht="12.75">
      <c r="AI211" s="16"/>
    </row>
    <row r="212" ht="12.75">
      <c r="AI212" s="16"/>
    </row>
    <row r="213" ht="12.75">
      <c r="AI213" s="16"/>
    </row>
    <row r="214" ht="12.75">
      <c r="AI214" s="16"/>
    </row>
    <row r="215" ht="12.75">
      <c r="AI215" s="16"/>
    </row>
    <row r="216" ht="12.75">
      <c r="AI216" s="16"/>
    </row>
    <row r="217" ht="12.75">
      <c r="AI217" s="16"/>
    </row>
    <row r="218" ht="12.75">
      <c r="AI218" s="16"/>
    </row>
    <row r="219" ht="12.75">
      <c r="AI219" s="16"/>
    </row>
    <row r="220" ht="12.75">
      <c r="AI220" s="16"/>
    </row>
    <row r="221" ht="12.75">
      <c r="AI221" s="16"/>
    </row>
    <row r="222" ht="12.75">
      <c r="AI222" s="16"/>
    </row>
    <row r="223" ht="12.75">
      <c r="AI223" s="16"/>
    </row>
    <row r="224" ht="12.75">
      <c r="AI224" s="16"/>
    </row>
    <row r="225" ht="12.75">
      <c r="AI225" s="16"/>
    </row>
    <row r="226" ht="12.75">
      <c r="AI226" s="16"/>
    </row>
    <row r="227" ht="12.75">
      <c r="AI227" s="16"/>
    </row>
    <row r="228" ht="12.75">
      <c r="AI228" s="16"/>
    </row>
    <row r="229" ht="12.75">
      <c r="AI229" s="16"/>
    </row>
    <row r="230" ht="12.75">
      <c r="AI230" s="16"/>
    </row>
    <row r="231" ht="12.75">
      <c r="AI231" s="16"/>
    </row>
    <row r="232" ht="12.75">
      <c r="AI232" s="16"/>
    </row>
    <row r="233" ht="12.75">
      <c r="AI233" s="16"/>
    </row>
    <row r="234" ht="12.75">
      <c r="AI234" s="16"/>
    </row>
    <row r="235" ht="12.75">
      <c r="AI235" s="16"/>
    </row>
    <row r="236" ht="12.75">
      <c r="AI236" s="16"/>
    </row>
    <row r="237" ht="12.75">
      <c r="AI237" s="16"/>
    </row>
    <row r="238" ht="12.75">
      <c r="AI238" s="16"/>
    </row>
    <row r="239" ht="12.75">
      <c r="AI239" s="16"/>
    </row>
    <row r="240" ht="12.75">
      <c r="AI240" s="16"/>
    </row>
    <row r="241" ht="12.75">
      <c r="AI241" s="16"/>
    </row>
    <row r="242" ht="12.75">
      <c r="AI242" s="16"/>
    </row>
    <row r="243" ht="12.75">
      <c r="AI243" s="16"/>
    </row>
    <row r="244" ht="12.75">
      <c r="AI244" s="16"/>
    </row>
    <row r="245" ht="12.75">
      <c r="AI245" s="16"/>
    </row>
    <row r="246" ht="12.75">
      <c r="AI246" s="16"/>
    </row>
    <row r="247" ht="12.75">
      <c r="AI247" s="16"/>
    </row>
    <row r="248" ht="12.75">
      <c r="AI248" s="16"/>
    </row>
    <row r="249" ht="12.75">
      <c r="AI249" s="16"/>
    </row>
    <row r="250" ht="12.75">
      <c r="AI250" s="16"/>
    </row>
    <row r="251" ht="12.75">
      <c r="AI251" s="16"/>
    </row>
    <row r="252" ht="12.75">
      <c r="AI252" s="16"/>
    </row>
    <row r="253" ht="12.75">
      <c r="AI253" s="16"/>
    </row>
    <row r="254" ht="12.75">
      <c r="AI254" s="16"/>
    </row>
    <row r="255" ht="12.75">
      <c r="AI255" s="16"/>
    </row>
    <row r="256" ht="12.75">
      <c r="AI256" s="16"/>
    </row>
    <row r="257" ht="12.75">
      <c r="AI257" s="16"/>
    </row>
    <row r="258" ht="12.75">
      <c r="AI258" s="16"/>
    </row>
    <row r="259" ht="12.75">
      <c r="AI259" s="16"/>
    </row>
    <row r="260" ht="12.75">
      <c r="AI260" s="16"/>
    </row>
    <row r="261" ht="12.75">
      <c r="AI261" s="16"/>
    </row>
    <row r="262" ht="12.75">
      <c r="AI262" s="16"/>
    </row>
    <row r="263" ht="12.75">
      <c r="AI263" s="16"/>
    </row>
    <row r="264" ht="12.75">
      <c r="AI264" s="16"/>
    </row>
    <row r="265" ht="12.75">
      <c r="AI265" s="16"/>
    </row>
    <row r="266" ht="12.75">
      <c r="AI266" s="16"/>
    </row>
    <row r="267" ht="12.75">
      <c r="AI267" s="16"/>
    </row>
    <row r="268" ht="12.75">
      <c r="AI268" s="16"/>
    </row>
    <row r="269" ht="12.75">
      <c r="AI269" s="16"/>
    </row>
    <row r="270" ht="12.75">
      <c r="AI270" s="16"/>
    </row>
    <row r="271" ht="12.75">
      <c r="AI271" s="16"/>
    </row>
    <row r="272" ht="12.75">
      <c r="AI272" s="16"/>
    </row>
    <row r="273" ht="12.75">
      <c r="AI273" s="16"/>
    </row>
    <row r="274" ht="12.75">
      <c r="AI274" s="16"/>
    </row>
    <row r="275" ht="12.75">
      <c r="AI275" s="16"/>
    </row>
    <row r="276" ht="12.75">
      <c r="AI276" s="16"/>
    </row>
    <row r="277" ht="12.75">
      <c r="AI277" s="16"/>
    </row>
    <row r="278" ht="12.75">
      <c r="AI278" s="16"/>
    </row>
    <row r="279" ht="12.75">
      <c r="AI279" s="16"/>
    </row>
    <row r="280" ht="12.75">
      <c r="AI280" s="16"/>
    </row>
    <row r="281" ht="12.75">
      <c r="AI281" s="16"/>
    </row>
    <row r="282" ht="12.75">
      <c r="AI282" s="16"/>
    </row>
    <row r="283" ht="12.75">
      <c r="AI283" s="16"/>
    </row>
    <row r="284" ht="12.75">
      <c r="AI284" s="16"/>
    </row>
    <row r="285" ht="12.75">
      <c r="AI285" s="16"/>
    </row>
    <row r="286" ht="12.75">
      <c r="AI286" s="16"/>
    </row>
    <row r="287" ht="12.75">
      <c r="AI287" s="16"/>
    </row>
    <row r="288" ht="12.75">
      <c r="AI288" s="16"/>
    </row>
    <row r="289" ht="12.75">
      <c r="AI289" s="16"/>
    </row>
    <row r="290" ht="12.75">
      <c r="AI290" s="16"/>
    </row>
    <row r="291" ht="12.75">
      <c r="AI291" s="16"/>
    </row>
    <row r="292" ht="12.75">
      <c r="AI292" s="16"/>
    </row>
    <row r="293" ht="12.75">
      <c r="AI293" s="16"/>
    </row>
    <row r="294" ht="12.75">
      <c r="AI294" s="16"/>
    </row>
    <row r="295" ht="12.75">
      <c r="AI295" s="16"/>
    </row>
    <row r="296" ht="12.75">
      <c r="AI296" s="16"/>
    </row>
    <row r="297" ht="12.75">
      <c r="AI297" s="16"/>
    </row>
    <row r="298" ht="12.75">
      <c r="AI298" s="16"/>
    </row>
    <row r="299" ht="12.75">
      <c r="AI299" s="16"/>
    </row>
    <row r="300" ht="12.75">
      <c r="AI300" s="16"/>
    </row>
    <row r="301" ht="12.75">
      <c r="AI301" s="16"/>
    </row>
    <row r="302" ht="12.75">
      <c r="AI302" s="16"/>
    </row>
    <row r="303" ht="12.75">
      <c r="AI303" s="16"/>
    </row>
    <row r="304" ht="12.75">
      <c r="AI304" s="16"/>
    </row>
    <row r="305" ht="12.75">
      <c r="AI305" s="16"/>
    </row>
    <row r="306" ht="12.75">
      <c r="AI306" s="16"/>
    </row>
    <row r="307" ht="12.75">
      <c r="AI307" s="16"/>
    </row>
    <row r="308" ht="12.75">
      <c r="AI308" s="16"/>
    </row>
    <row r="309" ht="12.75">
      <c r="AI309" s="16"/>
    </row>
    <row r="310" ht="12.75">
      <c r="AI310" s="16"/>
    </row>
    <row r="311" ht="12.75">
      <c r="AI311" s="16"/>
    </row>
    <row r="312" ht="12.75">
      <c r="AI312" s="16"/>
    </row>
    <row r="313" ht="12.75">
      <c r="AI313" s="16"/>
    </row>
    <row r="314" ht="12.75">
      <c r="AI314" s="16"/>
    </row>
    <row r="315" ht="12.75">
      <c r="AI315" s="16"/>
    </row>
    <row r="316" ht="12.75">
      <c r="AI316" s="16"/>
    </row>
    <row r="317" ht="12.75">
      <c r="AI317" s="16"/>
    </row>
    <row r="318" ht="12.75">
      <c r="AI318" s="16"/>
    </row>
    <row r="319" ht="12.75">
      <c r="AI319" s="16"/>
    </row>
    <row r="320" ht="12.75">
      <c r="AI320" s="16"/>
    </row>
    <row r="321" ht="12.75">
      <c r="AI321" s="16"/>
    </row>
    <row r="322" ht="12.75">
      <c r="AI322" s="16"/>
    </row>
    <row r="323" ht="12.75">
      <c r="AI323" s="16"/>
    </row>
    <row r="324" ht="12.75">
      <c r="AI324" s="16"/>
    </row>
    <row r="325" ht="12.75">
      <c r="AI325" s="16"/>
    </row>
    <row r="326" ht="12.75">
      <c r="AI326" s="16"/>
    </row>
    <row r="327" ht="12.75">
      <c r="AI327" s="16"/>
    </row>
    <row r="328" ht="12.75">
      <c r="AI328" s="16"/>
    </row>
    <row r="329" ht="12.75">
      <c r="AI329" s="16"/>
    </row>
    <row r="330" ht="12.75">
      <c r="AI330" s="16"/>
    </row>
    <row r="331" ht="12.75">
      <c r="AI331" s="16"/>
    </row>
    <row r="332" ht="12.75">
      <c r="AI332" s="16"/>
    </row>
    <row r="333" ht="12.75">
      <c r="AI333" s="16"/>
    </row>
    <row r="334" ht="12.75">
      <c r="AI334" s="16"/>
    </row>
    <row r="335" ht="12.75">
      <c r="AI335" s="16"/>
    </row>
    <row r="336" ht="12.75">
      <c r="AI336" s="16"/>
    </row>
    <row r="337" ht="12.75">
      <c r="AI337" s="16"/>
    </row>
    <row r="338" ht="12.75">
      <c r="AI338" s="16"/>
    </row>
    <row r="339" ht="12.75">
      <c r="AI339" s="16"/>
    </row>
    <row r="340" ht="12.75">
      <c r="AI340" s="16"/>
    </row>
    <row r="341" ht="12.75">
      <c r="AI341" s="16"/>
    </row>
    <row r="342" ht="12.75">
      <c r="AI342" s="16"/>
    </row>
    <row r="343" ht="12.75">
      <c r="AI343" s="16"/>
    </row>
    <row r="344" ht="12.75">
      <c r="AI344" s="16"/>
    </row>
    <row r="345" ht="12.75">
      <c r="AI345" s="16"/>
    </row>
    <row r="346" ht="12.75">
      <c r="AI346" s="16"/>
    </row>
    <row r="347" ht="12.75">
      <c r="AI347" s="16"/>
    </row>
    <row r="348" ht="12.75">
      <c r="AI348" s="16"/>
    </row>
    <row r="349" ht="12.75">
      <c r="AI349" s="16"/>
    </row>
    <row r="350" ht="12.75">
      <c r="AI350" s="16"/>
    </row>
    <row r="351" ht="12.75">
      <c r="AI351" s="16"/>
    </row>
    <row r="352" ht="12.75">
      <c r="AI352" s="16"/>
    </row>
    <row r="353" ht="12.75">
      <c r="AI353" s="16"/>
    </row>
    <row r="354" ht="12.75">
      <c r="AI354" s="16"/>
    </row>
    <row r="355" ht="12.75">
      <c r="AI355" s="16"/>
    </row>
    <row r="356" ht="12.75">
      <c r="AI356" s="16"/>
    </row>
    <row r="357" ht="12.75">
      <c r="AI357" s="16"/>
    </row>
    <row r="358" ht="12.75">
      <c r="AI358" s="16"/>
    </row>
    <row r="359" ht="12.75">
      <c r="AI359" s="16"/>
    </row>
    <row r="360" ht="12.75">
      <c r="AI360" s="16"/>
    </row>
    <row r="361" ht="12.75">
      <c r="AI361" s="16"/>
    </row>
    <row r="362" ht="12.75">
      <c r="AI362" s="16"/>
    </row>
    <row r="363" ht="12.75">
      <c r="AI363" s="16"/>
    </row>
    <row r="364" ht="12.75">
      <c r="AI364" s="16"/>
    </row>
    <row r="365" ht="12.75">
      <c r="AI365" s="16"/>
    </row>
    <row r="366" ht="12.75">
      <c r="AI366" s="16"/>
    </row>
    <row r="367" ht="12.75">
      <c r="AI367" s="16"/>
    </row>
    <row r="368" ht="12.75">
      <c r="AI368" s="16"/>
    </row>
    <row r="369" ht="12.75">
      <c r="AI369" s="16"/>
    </row>
    <row r="370" ht="12.75">
      <c r="AI370" s="16"/>
    </row>
    <row r="371" ht="12.75">
      <c r="AI371" s="16"/>
    </row>
    <row r="372" ht="12.75">
      <c r="AI372" s="16"/>
    </row>
    <row r="373" ht="12.75">
      <c r="AI373" s="16"/>
    </row>
    <row r="374" ht="12.75">
      <c r="AI374" s="16"/>
    </row>
    <row r="375" ht="12.75">
      <c r="AI375" s="16"/>
    </row>
    <row r="376" ht="12.75">
      <c r="AI376" s="16"/>
    </row>
    <row r="377" ht="12.75">
      <c r="AI377" s="16"/>
    </row>
    <row r="378" ht="12.75">
      <c r="AI378" s="16"/>
    </row>
    <row r="379" ht="12.75">
      <c r="AI379" s="16"/>
    </row>
    <row r="380" ht="12.75">
      <c r="AI380" s="16"/>
    </row>
    <row r="381" ht="12.75">
      <c r="AI381" s="16"/>
    </row>
    <row r="382" ht="12.75">
      <c r="AI382" s="16"/>
    </row>
    <row r="383" ht="12.75">
      <c r="AI383" s="16"/>
    </row>
    <row r="384" ht="12.75">
      <c r="AI384" s="16"/>
    </row>
    <row r="385" ht="12.75">
      <c r="AI385" s="16"/>
    </row>
    <row r="386" ht="12.75">
      <c r="AI386" s="16"/>
    </row>
    <row r="387" ht="12.75">
      <c r="AI387" s="16"/>
    </row>
    <row r="388" ht="12.75">
      <c r="AI388" s="16"/>
    </row>
    <row r="389" ht="12.75">
      <c r="AI389" s="16"/>
    </row>
    <row r="390" ht="12.75">
      <c r="AI390" s="16"/>
    </row>
    <row r="391" ht="12.75">
      <c r="AI391" s="16"/>
    </row>
    <row r="392" ht="12.75">
      <c r="AI392" s="16"/>
    </row>
    <row r="393" ht="12.75">
      <c r="AI393" s="16"/>
    </row>
    <row r="394" ht="12.75">
      <c r="AI394" s="16"/>
    </row>
    <row r="395" ht="12.75">
      <c r="AI395" s="16"/>
    </row>
    <row r="396" ht="12.75">
      <c r="AI396" s="16"/>
    </row>
    <row r="397" ht="12.75">
      <c r="AI397" s="16"/>
    </row>
    <row r="398" ht="12.75">
      <c r="AI398" s="16"/>
    </row>
    <row r="399" ht="12.75">
      <c r="AI399" s="16"/>
    </row>
    <row r="400" ht="12.75">
      <c r="AI400" s="16"/>
    </row>
    <row r="401" ht="12.75">
      <c r="AI401" s="16"/>
    </row>
    <row r="402" ht="12.75">
      <c r="AI402" s="16"/>
    </row>
    <row r="403" ht="12.75">
      <c r="AI403" s="16"/>
    </row>
    <row r="404" ht="12.75">
      <c r="AI404" s="16"/>
    </row>
    <row r="405" ht="12.75">
      <c r="AI405" s="16"/>
    </row>
    <row r="406" ht="12.75">
      <c r="AI406" s="16"/>
    </row>
    <row r="407" ht="12.75">
      <c r="AI407" s="16"/>
    </row>
    <row r="408" ht="12.75">
      <c r="AI408" s="16"/>
    </row>
    <row r="409" ht="12.75">
      <c r="AI409" s="16"/>
    </row>
    <row r="410" ht="12.75">
      <c r="AI410" s="16"/>
    </row>
    <row r="411" ht="12.75">
      <c r="AI411" s="16"/>
    </row>
    <row r="412" ht="12.75">
      <c r="AI412" s="16"/>
    </row>
    <row r="413" ht="12.75">
      <c r="AI413" s="16"/>
    </row>
    <row r="414" ht="12.75">
      <c r="AI414" s="16"/>
    </row>
    <row r="415" ht="12.75">
      <c r="AI415" s="16"/>
    </row>
    <row r="416" ht="12.75">
      <c r="AI416" s="16"/>
    </row>
    <row r="417" ht="12.75">
      <c r="AI417" s="16"/>
    </row>
    <row r="418" ht="12.75">
      <c r="AI418" s="16"/>
    </row>
    <row r="419" ht="12.75">
      <c r="AI419" s="16"/>
    </row>
    <row r="420" ht="12.75">
      <c r="AI420" s="16"/>
    </row>
    <row r="421" ht="12.75">
      <c r="AI421" s="16"/>
    </row>
    <row r="422" ht="12.75">
      <c r="AI422" s="16"/>
    </row>
    <row r="423" ht="12.75">
      <c r="AI423" s="16"/>
    </row>
    <row r="424" ht="12.75">
      <c r="AI424" s="16"/>
    </row>
    <row r="425" ht="12.75">
      <c r="AI425" s="16"/>
    </row>
    <row r="426" ht="12.75">
      <c r="AI426" s="16"/>
    </row>
    <row r="427" ht="12.75">
      <c r="AI427" s="16"/>
    </row>
    <row r="428" ht="12.75">
      <c r="AI428" s="16"/>
    </row>
    <row r="429" ht="12.75">
      <c r="AI429" s="16"/>
    </row>
    <row r="430" ht="12.75">
      <c r="AI430" s="16"/>
    </row>
    <row r="431" ht="12.75">
      <c r="AI431" s="16"/>
    </row>
    <row r="432" ht="12.75">
      <c r="AI432" s="16"/>
    </row>
    <row r="433" ht="12.75">
      <c r="AI433" s="16"/>
    </row>
    <row r="434" ht="12.75">
      <c r="AI434" s="16"/>
    </row>
    <row r="435" ht="12.75">
      <c r="AI435" s="16"/>
    </row>
    <row r="436" ht="12.75">
      <c r="AI436" s="16"/>
    </row>
    <row r="437" ht="12.75">
      <c r="AI437" s="16"/>
    </row>
    <row r="438" ht="12.75">
      <c r="AI438" s="16"/>
    </row>
    <row r="439" ht="12.75">
      <c r="AI439" s="16"/>
    </row>
    <row r="440" ht="12.75">
      <c r="AI440" s="16"/>
    </row>
    <row r="441" ht="12.75">
      <c r="AI441" s="16"/>
    </row>
    <row r="442" ht="12.75">
      <c r="AI442" s="16"/>
    </row>
    <row r="443" ht="12.75">
      <c r="AI443" s="16"/>
    </row>
    <row r="444" ht="12.75">
      <c r="AI444" s="16"/>
    </row>
    <row r="445" ht="12.75">
      <c r="AI445" s="16"/>
    </row>
    <row r="446" ht="12.75">
      <c r="AI446" s="16"/>
    </row>
    <row r="447" ht="12.75">
      <c r="AI447" s="16"/>
    </row>
    <row r="448" ht="12.75">
      <c r="AI448" s="16"/>
    </row>
    <row r="449" ht="12.75">
      <c r="AI449" s="16"/>
    </row>
    <row r="450" ht="12.75">
      <c r="AI450" s="16"/>
    </row>
    <row r="451" ht="12.75">
      <c r="AI451" s="16"/>
    </row>
    <row r="452" ht="12.75">
      <c r="AI452" s="16"/>
    </row>
    <row r="453" ht="12.75">
      <c r="AI453" s="16"/>
    </row>
    <row r="454" ht="12.75">
      <c r="AI454" s="16"/>
    </row>
    <row r="455" ht="12.75">
      <c r="AI455" s="16"/>
    </row>
    <row r="456" ht="12.75">
      <c r="AI456" s="16"/>
    </row>
    <row r="457" ht="12.75">
      <c r="AI457" s="16"/>
    </row>
    <row r="458" ht="12.75">
      <c r="AI458" s="16"/>
    </row>
    <row r="459" ht="12.75">
      <c r="AI459" s="16"/>
    </row>
    <row r="460" ht="12.75">
      <c r="AI460" s="16"/>
    </row>
    <row r="461" ht="12.75">
      <c r="AI461" s="16"/>
    </row>
    <row r="462" ht="12.75">
      <c r="AI462" s="16"/>
    </row>
    <row r="463" ht="12.75">
      <c r="AI463" s="16"/>
    </row>
    <row r="464" ht="12.75">
      <c r="AI464" s="16"/>
    </row>
    <row r="465" ht="12.75">
      <c r="AI465" s="16"/>
    </row>
    <row r="466" ht="12.75">
      <c r="AI466" s="16"/>
    </row>
    <row r="467" ht="12.75">
      <c r="AI467" s="16"/>
    </row>
    <row r="468" ht="12.75">
      <c r="AI468" s="16"/>
    </row>
    <row r="469" ht="12.75">
      <c r="AI469" s="16"/>
    </row>
    <row r="470" ht="12.75">
      <c r="AI470" s="16"/>
    </row>
    <row r="471" ht="12.75">
      <c r="AI471" s="16"/>
    </row>
    <row r="472" ht="12.75">
      <c r="AI472" s="16"/>
    </row>
    <row r="473" ht="12.75">
      <c r="AI473" s="16"/>
    </row>
    <row r="474" ht="12.75">
      <c r="AI474" s="16"/>
    </row>
    <row r="475" ht="12.75">
      <c r="AI475" s="16"/>
    </row>
    <row r="476" ht="12.75">
      <c r="AI476" s="16"/>
    </row>
    <row r="477" ht="12.75">
      <c r="AI477" s="16"/>
    </row>
    <row r="478" ht="12.75">
      <c r="AI478" s="16"/>
    </row>
    <row r="479" ht="12.75">
      <c r="AI479" s="16"/>
    </row>
    <row r="480" ht="12.75">
      <c r="AI480" s="16"/>
    </row>
    <row r="481" ht="12.75">
      <c r="AI481" s="16"/>
    </row>
    <row r="482" ht="12.75">
      <c r="AI482" s="16"/>
    </row>
    <row r="483" ht="12.75">
      <c r="AI483" s="16"/>
    </row>
    <row r="484" ht="12.75">
      <c r="AI484" s="16"/>
    </row>
    <row r="485" ht="12.75">
      <c r="AI485" s="16"/>
    </row>
    <row r="486" ht="12.75">
      <c r="AI486" s="16"/>
    </row>
    <row r="487" ht="12.75">
      <c r="AI487" s="16"/>
    </row>
    <row r="488" ht="12.75">
      <c r="AI488" s="16"/>
    </row>
    <row r="489" ht="12.75">
      <c r="AI489" s="16"/>
    </row>
    <row r="490" ht="12.75">
      <c r="AI490" s="16"/>
    </row>
    <row r="491" ht="12.75">
      <c r="AI491" s="16"/>
    </row>
    <row r="492" ht="12.75">
      <c r="AI492" s="16"/>
    </row>
    <row r="493" ht="12.75">
      <c r="AI493" s="16"/>
    </row>
    <row r="494" ht="12.75">
      <c r="AI494" s="16"/>
    </row>
    <row r="495" ht="12.75">
      <c r="AI495" s="16"/>
    </row>
    <row r="496" ht="12.75">
      <c r="AI496" s="16"/>
    </row>
    <row r="497" ht="12.75">
      <c r="AI497" s="16"/>
    </row>
    <row r="498" ht="12.75">
      <c r="AI498" s="16"/>
    </row>
    <row r="499" ht="12.75">
      <c r="AI499" s="16"/>
    </row>
    <row r="500" ht="12.75">
      <c r="AI500" s="16"/>
    </row>
    <row r="501" ht="12.75">
      <c r="AI501" s="16"/>
    </row>
    <row r="502" ht="12.75">
      <c r="AI502" s="16"/>
    </row>
    <row r="503" ht="12.75">
      <c r="AI503" s="16"/>
    </row>
    <row r="504" ht="12.75">
      <c r="AI504" s="16"/>
    </row>
    <row r="505" ht="12.75">
      <c r="AI505" s="16"/>
    </row>
    <row r="506" ht="12.75">
      <c r="AI506" s="16"/>
    </row>
    <row r="507" ht="12.75">
      <c r="AI507" s="16"/>
    </row>
    <row r="508" ht="12.75">
      <c r="AI508" s="16"/>
    </row>
    <row r="509" ht="12.75">
      <c r="AI509" s="16"/>
    </row>
    <row r="510" ht="12.75">
      <c r="AI510" s="16"/>
    </row>
    <row r="511" ht="12.75">
      <c r="AI511" s="16"/>
    </row>
    <row r="512" ht="12.75">
      <c r="AI512" s="16"/>
    </row>
    <row r="513" ht="12.75">
      <c r="AI513" s="16"/>
    </row>
    <row r="514" ht="12.75">
      <c r="AI514" s="16"/>
    </row>
    <row r="515" ht="12.75">
      <c r="AI515" s="16"/>
    </row>
  </sheetData>
  <mergeCells count="8">
    <mergeCell ref="M22:N22"/>
    <mergeCell ref="S79:T79"/>
    <mergeCell ref="S80:T80"/>
    <mergeCell ref="S81:T81"/>
    <mergeCell ref="B1:O1"/>
    <mergeCell ref="M6:O18"/>
    <mergeCell ref="M19:N21"/>
    <mergeCell ref="O19:O21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B1:BY515"/>
  <sheetViews>
    <sheetView showRowColHeaders="0" workbookViewId="0" topLeftCell="A1">
      <selection activeCell="O19" sqref="O19:O21"/>
    </sheetView>
  </sheetViews>
  <sheetFormatPr defaultColWidth="11.421875" defaultRowHeight="12.75"/>
  <cols>
    <col min="1" max="1" width="3.421875" style="13" customWidth="1"/>
    <col min="2" max="2" width="5.140625" style="13" customWidth="1"/>
    <col min="3" max="3" width="9.421875" style="13" customWidth="1"/>
    <col min="4" max="4" width="9.8515625" style="13" hidden="1" customWidth="1"/>
    <col min="5" max="6" width="11.421875" style="13" customWidth="1"/>
    <col min="7" max="7" width="9.7109375" style="13" customWidth="1"/>
    <col min="8" max="8" width="6.57421875" style="13" customWidth="1"/>
    <col min="9" max="9" width="19.57421875" style="13" customWidth="1"/>
    <col min="10" max="10" width="7.421875" style="13" customWidth="1"/>
    <col min="11" max="11" width="3.8515625" style="13" customWidth="1"/>
    <col min="12" max="12" width="4.57421875" style="13" customWidth="1"/>
    <col min="13" max="13" width="9.00390625" style="13" customWidth="1"/>
    <col min="14" max="14" width="11.421875" style="16" customWidth="1"/>
    <col min="15" max="15" width="21.140625" style="16" customWidth="1"/>
    <col min="16" max="17" width="11.421875" style="15" customWidth="1"/>
    <col min="18" max="18" width="11.421875" style="69" customWidth="1"/>
    <col min="19" max="20" width="11.421875" style="13" customWidth="1"/>
    <col min="21" max="21" width="11.421875" style="128" customWidth="1"/>
    <col min="22" max="16384" width="11.421875" style="13" customWidth="1"/>
  </cols>
  <sheetData>
    <row r="1" spans="2:77" s="114" customFormat="1" ht="24.75" customHeight="1">
      <c r="B1" s="119" t="s">
        <v>36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6"/>
      <c r="U1" s="126"/>
      <c r="AI1" s="116"/>
      <c r="AJ1" s="116"/>
      <c r="BX1" s="115">
        <v>1</v>
      </c>
      <c r="BY1" s="117">
        <f>3.1419/25</f>
        <v>0.125676</v>
      </c>
    </row>
    <row r="2" spans="3:50" s="5" customFormat="1" ht="3.75" customHeight="1" thickBot="1">
      <c r="C2" s="8"/>
      <c r="D2" s="9"/>
      <c r="E2" s="4"/>
      <c r="S2" s="5">
        <v>102</v>
      </c>
      <c r="U2" s="127"/>
      <c r="AB2" s="127"/>
      <c r="AI2" s="6"/>
      <c r="AJ2" s="2"/>
      <c r="AL2" s="3" t="s">
        <v>23</v>
      </c>
      <c r="AM2" s="10" t="s">
        <v>18</v>
      </c>
      <c r="AN2" s="10" t="s">
        <v>19</v>
      </c>
      <c r="AO2" s="10" t="s">
        <v>20</v>
      </c>
      <c r="AP2" s="10" t="s">
        <v>24</v>
      </c>
      <c r="AQ2" s="10" t="s">
        <v>21</v>
      </c>
      <c r="AR2" s="10" t="s">
        <v>25</v>
      </c>
      <c r="AS2" s="5" t="s">
        <v>12</v>
      </c>
      <c r="AT2" s="5" t="s">
        <v>13</v>
      </c>
      <c r="AU2" s="5" t="s">
        <v>26</v>
      </c>
      <c r="AV2" s="5" t="s">
        <v>15</v>
      </c>
      <c r="AW2" s="5" t="s">
        <v>16</v>
      </c>
      <c r="AX2" s="5" t="s">
        <v>22</v>
      </c>
    </row>
    <row r="3" spans="2:53" ht="19.5" customHeight="1">
      <c r="B3" s="97"/>
      <c r="C3" s="98"/>
      <c r="D3" s="98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1"/>
      <c r="P3" s="13"/>
      <c r="Q3" s="13"/>
      <c r="R3" s="13"/>
      <c r="AA3" s="14">
        <v>2</v>
      </c>
      <c r="AB3" s="145">
        <f>AA3*PI()/AA4</f>
        <v>3.141592653589793</v>
      </c>
      <c r="AH3" s="13">
        <v>10</v>
      </c>
      <c r="AI3" s="15">
        <f>PI()/per</f>
        <v>0.3141592653589793</v>
      </c>
      <c r="AJ3" s="15"/>
      <c r="AK3" s="16"/>
      <c r="AL3" s="16"/>
      <c r="AM3" s="16" t="s">
        <v>17</v>
      </c>
      <c r="AN3" s="16" t="s">
        <v>10</v>
      </c>
      <c r="AO3" s="16" t="s">
        <v>11</v>
      </c>
      <c r="AP3" s="16" t="s">
        <v>14</v>
      </c>
      <c r="AQ3" s="16"/>
      <c r="AR3" s="16"/>
      <c r="BA3" s="17">
        <f>10/n</f>
        <v>10</v>
      </c>
    </row>
    <row r="4" spans="2:53" ht="21.75" customHeight="1" thickBot="1">
      <c r="B4" s="102"/>
      <c r="C4" s="103"/>
      <c r="D4" s="103"/>
      <c r="E4" s="96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13"/>
      <c r="Q4" s="13"/>
      <c r="R4" s="13"/>
      <c r="AA4" s="18">
        <v>2</v>
      </c>
      <c r="AB4" s="128"/>
      <c r="AI4" s="15"/>
      <c r="AJ4" s="15"/>
      <c r="AK4" s="16"/>
      <c r="AL4" s="16"/>
      <c r="AM4" s="16"/>
      <c r="AN4" s="16"/>
      <c r="AO4" s="16"/>
      <c r="AP4" s="16"/>
      <c r="BA4" s="17"/>
    </row>
    <row r="5" spans="2:53" ht="12.75" customHeight="1" thickBot="1">
      <c r="B5" s="106"/>
      <c r="C5" s="107"/>
      <c r="D5" s="107"/>
      <c r="E5" s="108"/>
      <c r="F5" s="109"/>
      <c r="G5" s="109"/>
      <c r="H5" s="109"/>
      <c r="I5" s="109"/>
      <c r="J5" s="109"/>
      <c r="K5" s="109"/>
      <c r="L5" s="109"/>
      <c r="M5" s="113">
        <f>AB8</f>
        <v>0</v>
      </c>
      <c r="N5" s="109"/>
      <c r="O5" s="110"/>
      <c r="P5" s="13"/>
      <c r="Q5" s="13"/>
      <c r="R5" s="13"/>
      <c r="X5" s="19"/>
      <c r="AB5" s="128"/>
      <c r="AI5" s="15"/>
      <c r="AJ5" s="15"/>
      <c r="AK5" s="16"/>
      <c r="AL5" s="16"/>
      <c r="AM5" s="16"/>
      <c r="AN5" s="16"/>
      <c r="AO5" s="16"/>
      <c r="AP5" s="16"/>
      <c r="AQ5" s="16"/>
      <c r="AR5" s="16"/>
      <c r="AS5" s="16"/>
      <c r="BA5" s="17"/>
    </row>
    <row r="6" spans="2:53" ht="12.75">
      <c r="B6" s="90"/>
      <c r="C6" s="87"/>
      <c r="D6" s="87"/>
      <c r="E6" s="85"/>
      <c r="F6" s="89"/>
      <c r="G6" s="89"/>
      <c r="H6" s="89"/>
      <c r="I6" s="89"/>
      <c r="J6" s="89"/>
      <c r="K6" s="89"/>
      <c r="L6" s="91"/>
      <c r="M6" s="152" t="s">
        <v>37</v>
      </c>
      <c r="N6" s="153"/>
      <c r="O6" s="154"/>
      <c r="P6" s="13"/>
      <c r="Q6" s="13"/>
      <c r="R6" s="13"/>
      <c r="T6" s="7">
        <v>1</v>
      </c>
      <c r="AB6" s="128">
        <f>DEGREES(AB3)</f>
        <v>180</v>
      </c>
      <c r="AI6" s="15">
        <f>1*10</f>
        <v>10</v>
      </c>
      <c r="AJ6" s="15">
        <f>0*10</f>
        <v>0</v>
      </c>
      <c r="AK6" s="16"/>
      <c r="AL6" s="20"/>
      <c r="AM6" s="20"/>
      <c r="AN6" s="20"/>
      <c r="AO6" s="20"/>
      <c r="AP6" s="20"/>
      <c r="AQ6" s="20"/>
      <c r="AR6" s="20"/>
      <c r="AS6" s="16"/>
      <c r="BA6" s="17"/>
    </row>
    <row r="7" spans="2:53" ht="12.75">
      <c r="B7" s="90"/>
      <c r="C7" s="87"/>
      <c r="D7" s="87"/>
      <c r="E7" s="87"/>
      <c r="F7" s="89"/>
      <c r="G7" s="89"/>
      <c r="H7" s="89"/>
      <c r="I7" s="89"/>
      <c r="J7" s="89"/>
      <c r="K7" s="89"/>
      <c r="L7" s="91"/>
      <c r="M7" s="155"/>
      <c r="N7" s="156"/>
      <c r="O7" s="157"/>
      <c r="P7" s="13"/>
      <c r="Q7" s="13"/>
      <c r="R7" s="13"/>
      <c r="AB7" s="128">
        <f>MOD(AB3,PI())</f>
        <v>0</v>
      </c>
      <c r="AI7" s="6">
        <v>0</v>
      </c>
      <c r="AJ7" s="2">
        <v>0</v>
      </c>
      <c r="AK7" s="16"/>
      <c r="AL7" s="20"/>
      <c r="AM7" s="20"/>
      <c r="AN7" s="20"/>
      <c r="AO7" s="20"/>
      <c r="AP7" s="20"/>
      <c r="AQ7" s="20"/>
      <c r="AR7" s="20"/>
      <c r="AS7" s="16"/>
      <c r="BA7" s="17"/>
    </row>
    <row r="8" spans="2:53" ht="12.75" customHeight="1">
      <c r="B8" s="90"/>
      <c r="C8" s="87"/>
      <c r="D8" s="87"/>
      <c r="E8" s="87"/>
      <c r="F8" s="89"/>
      <c r="G8" s="89"/>
      <c r="H8" s="89"/>
      <c r="I8" s="89"/>
      <c r="J8" s="89"/>
      <c r="K8" s="89"/>
      <c r="L8" s="91"/>
      <c r="M8" s="155"/>
      <c r="N8" s="156"/>
      <c r="O8" s="157"/>
      <c r="P8" s="13"/>
      <c r="Q8" s="13"/>
      <c r="R8" s="13"/>
      <c r="V8" s="13">
        <f ca="1">RAND()*7</f>
        <v>4.555192474207829</v>
      </c>
      <c r="W8" s="13">
        <f>INT(V8)</f>
        <v>4</v>
      </c>
      <c r="AB8" s="128">
        <f>DEGREES(AB7)</f>
        <v>0</v>
      </c>
      <c r="AI8" s="21">
        <f>(SQRT(3)/2)*10</f>
        <v>8.660254037844386</v>
      </c>
      <c r="AJ8" s="22">
        <f>0.5*10</f>
        <v>5</v>
      </c>
      <c r="AK8" s="16"/>
      <c r="AL8" s="20"/>
      <c r="AM8" s="20"/>
      <c r="AN8" s="20"/>
      <c r="AO8" s="20"/>
      <c r="AP8" s="20"/>
      <c r="AQ8" s="20"/>
      <c r="AR8" s="20"/>
      <c r="AS8" s="16"/>
      <c r="BA8" s="17"/>
    </row>
    <row r="9" spans="2:53" ht="12.75" customHeight="1">
      <c r="B9" s="90"/>
      <c r="C9" s="87"/>
      <c r="D9" s="87"/>
      <c r="E9" s="87"/>
      <c r="F9" s="89"/>
      <c r="G9" s="89"/>
      <c r="H9" s="89"/>
      <c r="I9" s="89"/>
      <c r="J9" s="89"/>
      <c r="K9" s="89"/>
      <c r="L9" s="91"/>
      <c r="M9" s="155"/>
      <c r="N9" s="156"/>
      <c r="O9" s="157"/>
      <c r="P9" s="13"/>
      <c r="Q9" s="13"/>
      <c r="R9" s="13"/>
      <c r="V9" s="13">
        <f ca="1">RAND()*9+1</f>
        <v>2.317314822261279</v>
      </c>
      <c r="W9" s="13">
        <f>IF(W8&gt;5,4,INT(V9))</f>
        <v>2</v>
      </c>
      <c r="AB9" s="128"/>
      <c r="AI9" s="21">
        <f>0.5*10</f>
        <v>5</v>
      </c>
      <c r="AJ9" s="22">
        <f>(SQRT(3)/2)*10</f>
        <v>8.660254037844386</v>
      </c>
      <c r="AK9" s="16"/>
      <c r="AL9" s="20"/>
      <c r="AM9" s="20"/>
      <c r="AN9" s="20"/>
      <c r="AO9" s="20"/>
      <c r="AP9" s="20"/>
      <c r="AQ9" s="20"/>
      <c r="AR9" s="20"/>
      <c r="AS9" s="16"/>
      <c r="BA9" s="17"/>
    </row>
    <row r="10" spans="2:53" ht="12.75" customHeight="1">
      <c r="B10" s="90"/>
      <c r="C10" s="87"/>
      <c r="D10" s="87"/>
      <c r="E10" s="87"/>
      <c r="F10" s="89"/>
      <c r="G10" s="89"/>
      <c r="H10" s="89"/>
      <c r="I10" s="89"/>
      <c r="J10" s="89"/>
      <c r="K10" s="89"/>
      <c r="L10" s="91"/>
      <c r="M10" s="155"/>
      <c r="N10" s="156"/>
      <c r="O10" s="157"/>
      <c r="P10" s="13"/>
      <c r="Q10" s="13"/>
      <c r="R10" s="13"/>
      <c r="AB10" s="128"/>
      <c r="AI10" s="6">
        <v>0</v>
      </c>
      <c r="AJ10" s="6">
        <f>1*10</f>
        <v>10</v>
      </c>
      <c r="AK10" s="16"/>
      <c r="AL10" s="20"/>
      <c r="AM10" s="20"/>
      <c r="AN10" s="20"/>
      <c r="AO10" s="20"/>
      <c r="AP10" s="16"/>
      <c r="AQ10" s="16"/>
      <c r="AR10" s="16"/>
      <c r="AS10" s="16"/>
      <c r="BA10" s="17"/>
    </row>
    <row r="11" spans="2:53" ht="12.75">
      <c r="B11" s="90"/>
      <c r="C11" s="87"/>
      <c r="D11" s="87"/>
      <c r="E11" s="87"/>
      <c r="F11" s="89"/>
      <c r="G11" s="89"/>
      <c r="H11" s="89"/>
      <c r="I11" s="89"/>
      <c r="J11" s="89"/>
      <c r="K11" s="89"/>
      <c r="L11" s="91"/>
      <c r="M11" s="155"/>
      <c r="N11" s="156"/>
      <c r="O11" s="157"/>
      <c r="P11" s="13"/>
      <c r="Q11" s="13"/>
      <c r="R11" s="13"/>
      <c r="AB11" s="128"/>
      <c r="AI11" s="23">
        <f>-AI9</f>
        <v>-5</v>
      </c>
      <c r="AJ11" s="23">
        <f>AJ9</f>
        <v>8.660254037844386</v>
      </c>
      <c r="AK11" s="16"/>
      <c r="AL11" s="20"/>
      <c r="AM11" s="20"/>
      <c r="AN11" s="20"/>
      <c r="AO11" s="20"/>
      <c r="AP11" s="16"/>
      <c r="AQ11" s="16"/>
      <c r="AR11" s="16"/>
      <c r="AS11" s="16"/>
      <c r="BA11" s="17"/>
    </row>
    <row r="12" spans="2:53" ht="12.75">
      <c r="B12" s="90"/>
      <c r="C12" s="87"/>
      <c r="D12" s="87"/>
      <c r="E12" s="87"/>
      <c r="F12" s="89"/>
      <c r="G12" s="89"/>
      <c r="H12" s="89"/>
      <c r="I12" s="89"/>
      <c r="J12" s="89"/>
      <c r="K12" s="89"/>
      <c r="L12" s="91"/>
      <c r="M12" s="155"/>
      <c r="N12" s="156"/>
      <c r="O12" s="157"/>
      <c r="P12" s="13"/>
      <c r="Q12" s="13"/>
      <c r="R12" s="13"/>
      <c r="AB12" s="128"/>
      <c r="AI12" s="23">
        <f>-AI8</f>
        <v>-8.660254037844386</v>
      </c>
      <c r="AJ12" s="23">
        <f>AJ8</f>
        <v>5</v>
      </c>
      <c r="AK12" s="16"/>
      <c r="AL12" s="20"/>
      <c r="AM12" s="20"/>
      <c r="AN12" s="20"/>
      <c r="AO12" s="24"/>
      <c r="AP12" s="16"/>
      <c r="AQ12" s="16"/>
      <c r="AR12" s="16"/>
      <c r="AS12" s="16"/>
      <c r="BA12" s="17"/>
    </row>
    <row r="13" spans="2:53" ht="12.75">
      <c r="B13" s="90"/>
      <c r="C13" s="87"/>
      <c r="D13" s="87"/>
      <c r="E13" s="87"/>
      <c r="F13" s="89"/>
      <c r="G13" s="89"/>
      <c r="H13" s="89"/>
      <c r="I13" s="89"/>
      <c r="J13" s="89"/>
      <c r="K13" s="89"/>
      <c r="L13" s="91"/>
      <c r="M13" s="155"/>
      <c r="N13" s="156"/>
      <c r="O13" s="157"/>
      <c r="P13" s="13"/>
      <c r="Q13" s="13"/>
      <c r="R13" s="13"/>
      <c r="AB13" s="128"/>
      <c r="AI13" s="15">
        <v>-10</v>
      </c>
      <c r="AJ13" s="15">
        <v>0</v>
      </c>
      <c r="AK13" s="16"/>
      <c r="AL13" s="20"/>
      <c r="AM13" s="20"/>
      <c r="AN13" s="20"/>
      <c r="AO13" s="20"/>
      <c r="AP13" s="16"/>
      <c r="AQ13" s="16"/>
      <c r="AR13" s="16"/>
      <c r="AS13" s="16"/>
      <c r="BA13" s="17"/>
    </row>
    <row r="14" spans="2:53" ht="12.75">
      <c r="B14" s="90"/>
      <c r="C14" s="87"/>
      <c r="D14" s="87"/>
      <c r="E14" s="87"/>
      <c r="F14" s="89"/>
      <c r="G14" s="89"/>
      <c r="H14" s="89"/>
      <c r="I14" s="89"/>
      <c r="J14" s="89"/>
      <c r="K14" s="89"/>
      <c r="L14" s="91"/>
      <c r="M14" s="155"/>
      <c r="N14" s="156"/>
      <c r="O14" s="157"/>
      <c r="P14" s="13"/>
      <c r="Q14" s="13"/>
      <c r="R14" s="13"/>
      <c r="AB14" s="128"/>
      <c r="AI14" s="23">
        <f>AI12</f>
        <v>-8.660254037844386</v>
      </c>
      <c r="AJ14" s="23">
        <f>-AJ12</f>
        <v>-5</v>
      </c>
      <c r="AK14" s="16"/>
      <c r="AL14" s="20"/>
      <c r="AM14" s="20"/>
      <c r="AN14" s="20"/>
      <c r="AO14" s="20"/>
      <c r="AP14" s="16"/>
      <c r="AQ14" s="16"/>
      <c r="AR14" s="16"/>
      <c r="AS14" s="16"/>
      <c r="BA14" s="17"/>
    </row>
    <row r="15" spans="2:53" ht="12.75">
      <c r="B15" s="90"/>
      <c r="C15" s="87"/>
      <c r="D15" s="87"/>
      <c r="E15" s="87"/>
      <c r="F15" s="89"/>
      <c r="G15" s="89"/>
      <c r="H15" s="89"/>
      <c r="I15" s="89"/>
      <c r="J15" s="89"/>
      <c r="K15" s="89"/>
      <c r="L15" s="91"/>
      <c r="M15" s="155"/>
      <c r="N15" s="156"/>
      <c r="O15" s="157"/>
      <c r="P15" s="13"/>
      <c r="Q15" s="13"/>
      <c r="R15" s="13"/>
      <c r="AB15" s="128"/>
      <c r="AI15" s="23">
        <f>AI11</f>
        <v>-5</v>
      </c>
      <c r="AJ15" s="23">
        <f>-AJ11</f>
        <v>-8.660254037844386</v>
      </c>
      <c r="AK15" s="16"/>
      <c r="AL15" s="16"/>
      <c r="AM15" s="16"/>
      <c r="AN15" s="16"/>
      <c r="AO15" s="16"/>
      <c r="AP15" s="16"/>
      <c r="AQ15" s="16"/>
      <c r="AR15" s="16"/>
      <c r="AS15" s="16"/>
      <c r="BA15" s="17"/>
    </row>
    <row r="16" spans="2:53" ht="12.75">
      <c r="B16" s="90"/>
      <c r="C16" s="87"/>
      <c r="D16" s="87"/>
      <c r="E16" s="87"/>
      <c r="F16" s="89"/>
      <c r="G16" s="89"/>
      <c r="H16" s="89"/>
      <c r="I16" s="89"/>
      <c r="J16" s="89"/>
      <c r="K16" s="89"/>
      <c r="L16" s="91"/>
      <c r="M16" s="155"/>
      <c r="N16" s="156"/>
      <c r="O16" s="157"/>
      <c r="P16" s="13"/>
      <c r="Q16" s="13"/>
      <c r="R16" s="13"/>
      <c r="AB16" s="128"/>
      <c r="AI16" s="15">
        <v>0</v>
      </c>
      <c r="AJ16" s="15">
        <v>-1</v>
      </c>
      <c r="AK16" s="16"/>
      <c r="AL16" s="16"/>
      <c r="AM16" s="16"/>
      <c r="AN16" s="16"/>
      <c r="AO16" s="16"/>
      <c r="AP16" s="16"/>
      <c r="AQ16" s="16"/>
      <c r="AR16" s="16"/>
      <c r="AS16" s="16"/>
      <c r="BA16" s="17">
        <f aca="true" t="shared" si="0" ref="BA16:BA24">BA15+pas</f>
        <v>0.3141592653589793</v>
      </c>
    </row>
    <row r="17" spans="2:53" ht="12.75">
      <c r="B17" s="90"/>
      <c r="C17" s="87"/>
      <c r="D17" s="87"/>
      <c r="E17" s="87"/>
      <c r="F17" s="89"/>
      <c r="G17" s="89"/>
      <c r="H17" s="89"/>
      <c r="I17" s="89"/>
      <c r="J17" s="89"/>
      <c r="K17" s="89"/>
      <c r="L17" s="91"/>
      <c r="M17" s="155"/>
      <c r="N17" s="156"/>
      <c r="O17" s="157"/>
      <c r="P17" s="13"/>
      <c r="Q17" s="13"/>
      <c r="R17" s="13"/>
      <c r="AB17" s="128"/>
      <c r="AI17" s="23">
        <f>AI9</f>
        <v>5</v>
      </c>
      <c r="AJ17" s="23">
        <f>AJ15</f>
        <v>-8.660254037844386</v>
      </c>
      <c r="AK17" s="16"/>
      <c r="AL17" s="16"/>
      <c r="AM17" s="16"/>
      <c r="AN17" s="16"/>
      <c r="AO17" s="16"/>
      <c r="AP17" s="16"/>
      <c r="BA17" s="17">
        <f t="shared" si="0"/>
        <v>0.6283185307179586</v>
      </c>
    </row>
    <row r="18" spans="2:53" ht="13.5" thickBot="1">
      <c r="B18" s="90"/>
      <c r="C18" s="87"/>
      <c r="D18" s="87"/>
      <c r="E18" s="87"/>
      <c r="F18" s="89"/>
      <c r="G18" s="89"/>
      <c r="H18" s="89"/>
      <c r="I18" s="89"/>
      <c r="J18" s="89"/>
      <c r="K18" s="89"/>
      <c r="L18" s="91"/>
      <c r="M18" s="158"/>
      <c r="N18" s="159"/>
      <c r="O18" s="160"/>
      <c r="P18" s="13"/>
      <c r="Q18" s="13"/>
      <c r="R18" s="13"/>
      <c r="AB18" s="128"/>
      <c r="AI18" s="23">
        <f>AI8</f>
        <v>8.660254037844386</v>
      </c>
      <c r="AJ18" s="23">
        <f>AJ14</f>
        <v>-5</v>
      </c>
      <c r="AK18" s="16"/>
      <c r="AL18" s="16"/>
      <c r="AM18" s="16"/>
      <c r="AN18" s="16"/>
      <c r="AO18" s="16"/>
      <c r="BA18" s="17">
        <f t="shared" si="0"/>
        <v>0.9424777960769379</v>
      </c>
    </row>
    <row r="19" spans="2:53" ht="18">
      <c r="B19" s="90"/>
      <c r="C19" s="87"/>
      <c r="D19" s="87"/>
      <c r="E19" s="87"/>
      <c r="F19" s="89"/>
      <c r="G19" s="89"/>
      <c r="H19" s="89"/>
      <c r="I19" s="89"/>
      <c r="J19" s="89"/>
      <c r="K19" s="89"/>
      <c r="L19" s="91"/>
      <c r="M19" s="120" t="s">
        <v>35</v>
      </c>
      <c r="N19" s="122"/>
      <c r="O19" s="146"/>
      <c r="P19" s="13"/>
      <c r="Q19" s="13"/>
      <c r="R19" s="13"/>
      <c r="AB19" s="128"/>
      <c r="AI19" s="15"/>
      <c r="AJ19" s="15"/>
      <c r="AK19" s="16"/>
      <c r="AL19" s="16"/>
      <c r="AM19" s="16"/>
      <c r="AN19" s="16"/>
      <c r="AO19" s="16"/>
      <c r="BA19" s="17">
        <f t="shared" si="0"/>
        <v>1.2566370614359172</v>
      </c>
    </row>
    <row r="20" spans="2:53" ht="18">
      <c r="B20" s="90"/>
      <c r="C20" s="87"/>
      <c r="D20" s="87"/>
      <c r="E20" s="87"/>
      <c r="F20" s="89"/>
      <c r="G20" s="89"/>
      <c r="H20" s="89"/>
      <c r="I20" s="89"/>
      <c r="J20" s="89"/>
      <c r="K20" s="89"/>
      <c r="L20" s="91"/>
      <c r="M20" s="121"/>
      <c r="N20" s="123"/>
      <c r="O20" s="147"/>
      <c r="P20" s="13"/>
      <c r="Q20" s="13"/>
      <c r="R20" s="13"/>
      <c r="AB20" s="128"/>
      <c r="AI20" s="15">
        <f>(SQRT(2)/2)*10</f>
        <v>7.0710678118654755</v>
      </c>
      <c r="AJ20" s="15">
        <f>(SQRT(2)/2)*10</f>
        <v>7.0710678118654755</v>
      </c>
      <c r="AK20" s="16"/>
      <c r="AL20" s="16"/>
      <c r="AM20" s="16"/>
      <c r="AN20" s="16"/>
      <c r="AO20" s="16"/>
      <c r="BA20" s="17">
        <f t="shared" si="0"/>
        <v>1.5707963267948966</v>
      </c>
    </row>
    <row r="21" spans="2:53" ht="18.75" thickBot="1">
      <c r="B21" s="90"/>
      <c r="C21" s="87"/>
      <c r="D21" s="87"/>
      <c r="E21" s="87"/>
      <c r="F21" s="89"/>
      <c r="G21" s="89"/>
      <c r="H21" s="89"/>
      <c r="I21" s="89"/>
      <c r="J21" s="89"/>
      <c r="K21" s="89"/>
      <c r="L21" s="91"/>
      <c r="M21" s="124"/>
      <c r="N21" s="125"/>
      <c r="O21" s="148"/>
      <c r="P21" s="13"/>
      <c r="Q21" s="13"/>
      <c r="R21" s="13"/>
      <c r="AB21" s="128"/>
      <c r="AI21" s="15">
        <f>(-SQRT(2)/2)*10</f>
        <v>-7.0710678118654755</v>
      </c>
      <c r="AJ21" s="15">
        <f>(SQRT(2)/2)*10</f>
        <v>7.0710678118654755</v>
      </c>
      <c r="AK21" s="16"/>
      <c r="AL21" s="16"/>
      <c r="AM21" s="16"/>
      <c r="AN21" s="16"/>
      <c r="AO21" s="16"/>
      <c r="BA21" s="17">
        <f t="shared" si="0"/>
        <v>1.8849555921538759</v>
      </c>
    </row>
    <row r="22" spans="2:53" ht="18" customHeight="1" thickBot="1">
      <c r="B22" s="90"/>
      <c r="C22" s="87"/>
      <c r="D22" s="87"/>
      <c r="E22" s="87"/>
      <c r="F22" s="89"/>
      <c r="G22" s="89"/>
      <c r="H22" s="89"/>
      <c r="I22" s="89"/>
      <c r="J22" s="89"/>
      <c r="K22" s="89"/>
      <c r="L22" s="91"/>
      <c r="M22" s="150" t="s">
        <v>45</v>
      </c>
      <c r="N22" s="151"/>
      <c r="O22" s="149">
        <f>IF(O19="","",IF(O19=O24,"Exact","Faux"))</f>
      </c>
      <c r="P22" s="13"/>
      <c r="Q22" s="13"/>
      <c r="R22" s="13"/>
      <c r="AB22" s="128"/>
      <c r="AI22" s="15">
        <f>(-SQRT(2)/2)*10</f>
        <v>-7.0710678118654755</v>
      </c>
      <c r="AJ22" s="15">
        <f>(-SQRT(2)/2)*10</f>
        <v>-7.0710678118654755</v>
      </c>
      <c r="AK22" s="16"/>
      <c r="AL22" s="16"/>
      <c r="AM22" s="16"/>
      <c r="AN22" s="16"/>
      <c r="AO22" s="16"/>
      <c r="BA22" s="17">
        <f t="shared" si="0"/>
        <v>2.199114857512855</v>
      </c>
    </row>
    <row r="23" spans="2:53" ht="12.75">
      <c r="B23" s="90"/>
      <c r="C23" s="87"/>
      <c r="D23" s="87"/>
      <c r="E23" s="87"/>
      <c r="F23" s="89"/>
      <c r="G23" s="89"/>
      <c r="H23" s="89"/>
      <c r="I23" s="89"/>
      <c r="J23" s="89"/>
      <c r="K23" s="89"/>
      <c r="L23" s="91"/>
      <c r="M23" s="97"/>
      <c r="N23" s="100"/>
      <c r="O23" s="101"/>
      <c r="P23" s="13"/>
      <c r="Q23" s="13"/>
      <c r="R23" s="13"/>
      <c r="AB23" s="128"/>
      <c r="AI23" s="15">
        <f>(SQRT(2)/2)*10</f>
        <v>7.0710678118654755</v>
      </c>
      <c r="AJ23" s="15">
        <f>(-SQRT(2)/2)*10</f>
        <v>-7.0710678118654755</v>
      </c>
      <c r="AK23" s="16"/>
      <c r="AL23" s="16"/>
      <c r="AM23" s="16"/>
      <c r="AN23" s="16"/>
      <c r="AO23" s="16"/>
      <c r="BA23" s="17">
        <f t="shared" si="0"/>
        <v>2.5132741228718345</v>
      </c>
    </row>
    <row r="24" spans="2:53" ht="15.75">
      <c r="B24" s="90"/>
      <c r="C24" s="87"/>
      <c r="D24" s="87"/>
      <c r="E24" s="87"/>
      <c r="F24" s="89"/>
      <c r="G24" s="89"/>
      <c r="H24" s="89"/>
      <c r="I24" s="89"/>
      <c r="J24" s="89"/>
      <c r="K24" s="89"/>
      <c r="L24" s="91"/>
      <c r="M24" s="102"/>
      <c r="N24" s="104"/>
      <c r="O24" s="162">
        <f>INT(AB6)</f>
        <v>180</v>
      </c>
      <c r="P24" s="13"/>
      <c r="R24" s="25" t="s">
        <v>7</v>
      </c>
      <c r="S24" s="26"/>
      <c r="T24" s="26"/>
      <c r="U24" s="129"/>
      <c r="V24" s="26"/>
      <c r="W24" s="26"/>
      <c r="X24" s="26"/>
      <c r="Y24" s="26"/>
      <c r="Z24" s="26"/>
      <c r="AA24" s="26"/>
      <c r="AB24" s="129"/>
      <c r="AC24" s="26"/>
      <c r="AD24" s="26"/>
      <c r="AE24" s="26"/>
      <c r="AF24" s="27"/>
      <c r="AI24" s="15"/>
      <c r="AJ24" s="15"/>
      <c r="AK24" s="16"/>
      <c r="AL24" s="16"/>
      <c r="AM24" s="16"/>
      <c r="AN24" s="16"/>
      <c r="AO24" s="16"/>
      <c r="BA24" s="17">
        <f t="shared" si="0"/>
        <v>2.827433388230814</v>
      </c>
    </row>
    <row r="25" spans="2:35" ht="12.75">
      <c r="B25" s="90"/>
      <c r="C25" s="86"/>
      <c r="D25" s="87"/>
      <c r="E25" s="88"/>
      <c r="F25" s="89"/>
      <c r="G25" s="89"/>
      <c r="H25" s="89"/>
      <c r="I25" s="89"/>
      <c r="J25" s="89"/>
      <c r="K25" s="89"/>
      <c r="L25" s="91"/>
      <c r="M25" s="102"/>
      <c r="N25" s="161"/>
      <c r="O25" s="105"/>
      <c r="P25" s="13"/>
      <c r="R25" s="26"/>
      <c r="S25" s="26"/>
      <c r="T25" s="26"/>
      <c r="U25" s="129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7"/>
      <c r="AI25" s="17"/>
    </row>
    <row r="26" spans="2:35" ht="12.75">
      <c r="B26" s="90"/>
      <c r="C26" s="86"/>
      <c r="D26" s="87"/>
      <c r="E26" s="88"/>
      <c r="F26" s="89"/>
      <c r="G26" s="89"/>
      <c r="H26" s="89"/>
      <c r="I26" s="89"/>
      <c r="J26" s="89"/>
      <c r="K26" s="89"/>
      <c r="L26" s="91"/>
      <c r="M26" s="102"/>
      <c r="N26" s="104"/>
      <c r="O26" s="105"/>
      <c r="P26" s="13"/>
      <c r="R26" s="29" t="s">
        <v>2</v>
      </c>
      <c r="S26" s="30">
        <v>0.75</v>
      </c>
      <c r="T26" s="26"/>
      <c r="U26" s="129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  <c r="AI26" s="17"/>
    </row>
    <row r="27" spans="2:35" ht="12.75" customHeight="1">
      <c r="B27" s="90"/>
      <c r="C27" s="87"/>
      <c r="D27" s="87"/>
      <c r="E27" s="87"/>
      <c r="F27" s="89"/>
      <c r="G27" s="89"/>
      <c r="H27" s="89"/>
      <c r="I27" s="89"/>
      <c r="J27" s="89"/>
      <c r="K27" s="89"/>
      <c r="L27" s="91"/>
      <c r="M27" s="102"/>
      <c r="N27" s="104"/>
      <c r="O27" s="105"/>
      <c r="P27" s="13"/>
      <c r="R27" s="29" t="s">
        <v>6</v>
      </c>
      <c r="S27" s="31">
        <v>18</v>
      </c>
      <c r="T27" s="32">
        <f>S27/180*PI()</f>
        <v>0.3141592653589793</v>
      </c>
      <c r="U27" s="129"/>
      <c r="V27" s="26"/>
      <c r="W27" s="26"/>
      <c r="X27" s="26"/>
      <c r="Y27" s="26"/>
      <c r="Z27" s="33" t="s">
        <v>4</v>
      </c>
      <c r="AA27" s="33"/>
      <c r="AB27" s="33"/>
      <c r="AC27" s="33" t="s">
        <v>5</v>
      </c>
      <c r="AD27" s="33"/>
      <c r="AE27" s="33"/>
      <c r="AF27" s="27"/>
      <c r="AI27" s="17"/>
    </row>
    <row r="28" spans="2:35" ht="13.5">
      <c r="B28" s="90"/>
      <c r="C28" s="87"/>
      <c r="D28" s="87"/>
      <c r="E28" s="87"/>
      <c r="F28" s="89"/>
      <c r="G28" s="89"/>
      <c r="H28" s="89"/>
      <c r="I28" s="89"/>
      <c r="J28" s="89"/>
      <c r="K28" s="89"/>
      <c r="L28" s="91"/>
      <c r="M28" s="102"/>
      <c r="N28" s="104"/>
      <c r="O28" s="105"/>
      <c r="P28" s="13"/>
      <c r="R28" s="26"/>
      <c r="S28" s="26"/>
      <c r="T28" s="26"/>
      <c r="U28" s="130" t="s">
        <v>38</v>
      </c>
      <c r="V28" s="35">
        <v>0</v>
      </c>
      <c r="W28" s="36">
        <v>0</v>
      </c>
      <c r="X28" s="34" t="s">
        <v>3</v>
      </c>
      <c r="Y28" s="26"/>
      <c r="Z28" s="33"/>
      <c r="AA28" s="33"/>
      <c r="AB28" s="33"/>
      <c r="AC28" s="33"/>
      <c r="AD28" s="33"/>
      <c r="AE28" s="33"/>
      <c r="AF28" s="27"/>
      <c r="AI28" s="17"/>
    </row>
    <row r="29" spans="2:35" s="5" customFormat="1" ht="13.5">
      <c r="B29" s="90"/>
      <c r="C29" s="87"/>
      <c r="D29" s="87"/>
      <c r="E29" s="87"/>
      <c r="F29" s="87"/>
      <c r="G29" s="87"/>
      <c r="H29" s="87"/>
      <c r="I29" s="89"/>
      <c r="J29" s="89"/>
      <c r="K29" s="89"/>
      <c r="L29" s="91"/>
      <c r="M29" s="102"/>
      <c r="N29" s="161"/>
      <c r="O29" s="163"/>
      <c r="P29" s="6"/>
      <c r="Q29" s="6"/>
      <c r="R29" s="37" t="s">
        <v>29</v>
      </c>
      <c r="S29" s="38">
        <f>I151</f>
        <v>-20</v>
      </c>
      <c r="T29" s="39">
        <f>J151</f>
        <v>2.45029690981724E-15</v>
      </c>
      <c r="U29" s="131" t="s">
        <v>39</v>
      </c>
      <c r="V29" s="38">
        <f aca="true" t="shared" si="1" ref="V29:W34">V28+S29</f>
        <v>-20</v>
      </c>
      <c r="W29" s="39">
        <f t="shared" si="1"/>
        <v>2.45029690981724E-15</v>
      </c>
      <c r="X29" s="37">
        <f aca="true" t="shared" si="2" ref="X29:X34">SQRT(S29*S29+T29*T29)</f>
        <v>20</v>
      </c>
      <c r="Y29" s="40"/>
      <c r="Z29" s="40">
        <f aca="true" t="shared" si="3" ref="Z29:Z34">IF(AND(S29=0,T29=0),0,(lf*(-S29*COS(angf)+T29*SIN(angf)))/X29+V29)</f>
        <v>-19.286707612778635</v>
      </c>
      <c r="AA29" s="40">
        <f aca="true" t="shared" si="4" ref="AA29:AA34">IF(AND(S29=0,T29=0),0,V29)</f>
        <v>-20</v>
      </c>
      <c r="AB29" s="40">
        <f aca="true" t="shared" si="5" ref="AB29:AB34">IF(AND(S29=0,T29=0),0,lf*(-S29*COS(angf)-T29*SIN(angf))/X29+V29)</f>
        <v>-19.286707612778635</v>
      </c>
      <c r="AC29" s="40">
        <f aca="true" t="shared" si="6" ref="AC29:AC34">IF(AND(S29=0,T29=0),0,(lf*(-T29*COS(angf)-S29*SIN(angf)))/X29+W29)</f>
        <v>0.2317627457812129</v>
      </c>
      <c r="AD29" s="40">
        <f aca="true" t="shared" si="7" ref="AD29:AD34">IF(AND(S29=0,T29=0),0,W29)</f>
        <v>2.45029690981724E-15</v>
      </c>
      <c r="AE29" s="40">
        <f aca="true" t="shared" si="8" ref="AE29:AE34">IF(AND(S29=0,T29=0),0,lf*(-T29*COS(angf)+S29*SIN(angf))/X29+W29)</f>
        <v>-0.2317627457812082</v>
      </c>
      <c r="AF29" s="41"/>
      <c r="AI29" s="42"/>
    </row>
    <row r="30" spans="2:35" s="5" customFormat="1" ht="13.5">
      <c r="B30" s="90"/>
      <c r="C30" s="87"/>
      <c r="D30" s="87"/>
      <c r="E30" s="87"/>
      <c r="F30" s="87"/>
      <c r="G30" s="87"/>
      <c r="H30" s="87"/>
      <c r="I30" s="89"/>
      <c r="J30" s="89"/>
      <c r="K30" s="89"/>
      <c r="L30" s="91"/>
      <c r="M30" s="102"/>
      <c r="N30" s="161"/>
      <c r="O30" s="163"/>
      <c r="P30" s="6"/>
      <c r="Q30" s="6"/>
      <c r="R30" s="37" t="s">
        <v>30</v>
      </c>
      <c r="S30" s="38">
        <v>2</v>
      </c>
      <c r="T30" s="39">
        <v>-7</v>
      </c>
      <c r="U30" s="131" t="s">
        <v>40</v>
      </c>
      <c r="V30" s="38">
        <v>0</v>
      </c>
      <c r="W30" s="39">
        <v>0</v>
      </c>
      <c r="X30" s="37">
        <f t="shared" si="2"/>
        <v>7.280109889280518</v>
      </c>
      <c r="Y30" s="40"/>
      <c r="Z30" s="40">
        <f t="shared" si="3"/>
        <v>-0.41880191937769284</v>
      </c>
      <c r="AA30" s="40">
        <f t="shared" si="4"/>
        <v>0</v>
      </c>
      <c r="AB30" s="40">
        <f t="shared" si="5"/>
        <v>0.026888941101559333</v>
      </c>
      <c r="AC30" s="40">
        <f t="shared" si="6"/>
        <v>0.6221775890576262</v>
      </c>
      <c r="AD30" s="40">
        <f t="shared" si="7"/>
        <v>0</v>
      </c>
      <c r="AE30" s="40">
        <f t="shared" si="8"/>
        <v>0.7495178349088412</v>
      </c>
      <c r="AF30" s="41"/>
      <c r="AI30" s="42"/>
    </row>
    <row r="31" spans="2:35" s="5" customFormat="1" ht="13.5">
      <c r="B31" s="90"/>
      <c r="C31" s="87"/>
      <c r="D31" s="87"/>
      <c r="E31" s="87"/>
      <c r="F31" s="87"/>
      <c r="G31" s="87"/>
      <c r="H31" s="87"/>
      <c r="I31" s="89"/>
      <c r="J31" s="89"/>
      <c r="K31" s="89"/>
      <c r="L31" s="91"/>
      <c r="M31" s="102"/>
      <c r="N31" s="161"/>
      <c r="O31" s="163"/>
      <c r="P31" s="6"/>
      <c r="Q31" s="6"/>
      <c r="R31" s="37" t="s">
        <v>31</v>
      </c>
      <c r="S31" s="38">
        <f>I152</f>
        <v>10</v>
      </c>
      <c r="T31" s="39">
        <f>J152</f>
        <v>0</v>
      </c>
      <c r="U31" s="131" t="s">
        <v>41</v>
      </c>
      <c r="V31" s="38">
        <f t="shared" si="1"/>
        <v>10</v>
      </c>
      <c r="W31" s="39">
        <f t="shared" si="1"/>
        <v>0</v>
      </c>
      <c r="X31" s="37">
        <f t="shared" si="2"/>
        <v>10</v>
      </c>
      <c r="Y31" s="40"/>
      <c r="Z31" s="40">
        <f t="shared" si="3"/>
        <v>9.286707612778635</v>
      </c>
      <c r="AA31" s="40">
        <f t="shared" si="4"/>
        <v>10</v>
      </c>
      <c r="AB31" s="40">
        <f t="shared" si="5"/>
        <v>9.286707612778635</v>
      </c>
      <c r="AC31" s="40">
        <f t="shared" si="6"/>
        <v>-0.23176274578121053</v>
      </c>
      <c r="AD31" s="40">
        <f t="shared" si="7"/>
        <v>0</v>
      </c>
      <c r="AE31" s="40">
        <f t="shared" si="8"/>
        <v>0.23176274578121053</v>
      </c>
      <c r="AF31" s="41"/>
      <c r="AI31" s="42"/>
    </row>
    <row r="32" spans="2:35" s="5" customFormat="1" ht="13.5">
      <c r="B32" s="90"/>
      <c r="C32" s="87"/>
      <c r="D32" s="87"/>
      <c r="E32" s="87"/>
      <c r="F32" s="87"/>
      <c r="G32" s="87"/>
      <c r="H32" s="87"/>
      <c r="I32" s="89"/>
      <c r="J32" s="89"/>
      <c r="K32" s="89"/>
      <c r="L32" s="91"/>
      <c r="M32" s="102"/>
      <c r="N32" s="161"/>
      <c r="O32" s="163"/>
      <c r="P32" s="6"/>
      <c r="Q32" s="6"/>
      <c r="R32" s="37" t="s">
        <v>32</v>
      </c>
      <c r="S32" s="38">
        <v>-10</v>
      </c>
      <c r="T32" s="39">
        <v>-3</v>
      </c>
      <c r="U32" s="131" t="s">
        <v>42</v>
      </c>
      <c r="V32" s="38">
        <f t="shared" si="1"/>
        <v>0</v>
      </c>
      <c r="W32" s="39">
        <f t="shared" si="1"/>
        <v>-3</v>
      </c>
      <c r="X32" s="37">
        <f t="shared" si="2"/>
        <v>10.44030650891055</v>
      </c>
      <c r="Y32" s="40"/>
      <c r="Z32" s="40">
        <f t="shared" si="3"/>
        <v>0.6166136625754859</v>
      </c>
      <c r="AA32" s="40">
        <f t="shared" si="4"/>
        <v>0</v>
      </c>
      <c r="AB32" s="40">
        <f t="shared" si="5"/>
        <v>0.7498067324820484</v>
      </c>
      <c r="AC32" s="40">
        <f t="shared" si="6"/>
        <v>-2.573048490897099</v>
      </c>
      <c r="AD32" s="40">
        <f t="shared" si="7"/>
        <v>-3</v>
      </c>
      <c r="AE32" s="40">
        <f t="shared" si="8"/>
        <v>-3.017025390585641</v>
      </c>
      <c r="AF32" s="41"/>
      <c r="AI32" s="42"/>
    </row>
    <row r="33" spans="2:35" s="5" customFormat="1" ht="14.25" thickBot="1">
      <c r="B33" s="92"/>
      <c r="C33" s="93"/>
      <c r="D33" s="93"/>
      <c r="E33" s="93"/>
      <c r="F33" s="93"/>
      <c r="G33" s="93"/>
      <c r="H33" s="93"/>
      <c r="I33" s="94"/>
      <c r="J33" s="94"/>
      <c r="K33" s="94"/>
      <c r="L33" s="95"/>
      <c r="M33" s="106"/>
      <c r="N33" s="164"/>
      <c r="O33" s="165"/>
      <c r="P33" s="6"/>
      <c r="Q33" s="6"/>
      <c r="R33" s="37" t="s">
        <v>33</v>
      </c>
      <c r="S33" s="38">
        <v>-2</v>
      </c>
      <c r="T33" s="39">
        <v>8</v>
      </c>
      <c r="U33" s="131" t="s">
        <v>43</v>
      </c>
      <c r="V33" s="38">
        <f t="shared" si="1"/>
        <v>-2</v>
      </c>
      <c r="W33" s="39">
        <f t="shared" si="1"/>
        <v>5</v>
      </c>
      <c r="X33" s="37">
        <f t="shared" si="2"/>
        <v>8.246211251235321</v>
      </c>
      <c r="Y33" s="40"/>
      <c r="Z33" s="40">
        <f t="shared" si="3"/>
        <v>-1.6021582953988776</v>
      </c>
      <c r="AA33" s="40">
        <f t="shared" si="4"/>
        <v>-2</v>
      </c>
      <c r="AB33" s="40">
        <f t="shared" si="5"/>
        <v>-2.0518440746643387</v>
      </c>
      <c r="AC33" s="40">
        <f t="shared" si="6"/>
        <v>4.364215462534615</v>
      </c>
      <c r="AD33" s="40">
        <f t="shared" si="7"/>
        <v>5</v>
      </c>
      <c r="AE33" s="40">
        <f t="shared" si="8"/>
        <v>4.25179401771825</v>
      </c>
      <c r="AF33" s="41"/>
      <c r="AI33" s="42"/>
    </row>
    <row r="34" spans="3:35" s="5" customFormat="1" ht="13.5">
      <c r="C34" s="9"/>
      <c r="D34" s="9"/>
      <c r="E34" s="9"/>
      <c r="F34" s="9"/>
      <c r="G34" s="9"/>
      <c r="H34" s="9"/>
      <c r="N34" s="10"/>
      <c r="O34" s="10"/>
      <c r="P34" s="6"/>
      <c r="Q34" s="6"/>
      <c r="R34" s="37" t="s">
        <v>34</v>
      </c>
      <c r="S34" s="38">
        <v>5</v>
      </c>
      <c r="T34" s="39">
        <v>-3</v>
      </c>
      <c r="U34" s="131" t="s">
        <v>44</v>
      </c>
      <c r="V34" s="38">
        <f t="shared" si="1"/>
        <v>3</v>
      </c>
      <c r="W34" s="39">
        <f t="shared" si="1"/>
        <v>2</v>
      </c>
      <c r="X34" s="37">
        <f t="shared" si="2"/>
        <v>5.830951894845301</v>
      </c>
      <c r="Y34" s="40"/>
      <c r="Z34" s="40">
        <f t="shared" si="3"/>
        <v>2.269115875022405</v>
      </c>
      <c r="AA34" s="40">
        <f t="shared" si="4"/>
        <v>3</v>
      </c>
      <c r="AB34" s="40">
        <f t="shared" si="5"/>
        <v>2.507597772963728</v>
      </c>
      <c r="AC34" s="40">
        <f t="shared" si="6"/>
        <v>2.168250990653057</v>
      </c>
      <c r="AD34" s="40">
        <f t="shared" si="7"/>
        <v>2</v>
      </c>
      <c r="AE34" s="40">
        <f t="shared" si="8"/>
        <v>2.5657208205552626</v>
      </c>
      <c r="AF34" s="41"/>
      <c r="AI34" s="42"/>
    </row>
    <row r="35" spans="3:35" s="5" customFormat="1" ht="12.75" customHeight="1">
      <c r="C35" s="9"/>
      <c r="D35" s="9"/>
      <c r="E35" s="9"/>
      <c r="F35" s="9"/>
      <c r="G35" s="9"/>
      <c r="H35" s="9"/>
      <c r="N35" s="10"/>
      <c r="O35" s="10"/>
      <c r="P35" s="6"/>
      <c r="Q35" s="6"/>
      <c r="R35" s="37"/>
      <c r="S35" s="40"/>
      <c r="T35" s="40"/>
      <c r="U35" s="131"/>
      <c r="V35" s="43"/>
      <c r="W35" s="43"/>
      <c r="X35" s="37"/>
      <c r="Y35" s="40"/>
      <c r="Z35" s="40"/>
      <c r="AA35" s="40"/>
      <c r="AB35" s="40"/>
      <c r="AC35" s="40"/>
      <c r="AD35" s="40"/>
      <c r="AE35" s="40"/>
      <c r="AF35" s="41"/>
      <c r="AI35" s="42"/>
    </row>
    <row r="36" spans="3:35" s="5" customFormat="1" ht="13.5">
      <c r="C36" s="9"/>
      <c r="D36" s="9"/>
      <c r="E36" s="9"/>
      <c r="F36" s="9"/>
      <c r="G36" s="9"/>
      <c r="H36" s="9"/>
      <c r="N36" s="10"/>
      <c r="O36" s="10"/>
      <c r="P36" s="6"/>
      <c r="Q36" s="6"/>
      <c r="R36" s="37"/>
      <c r="S36" s="40"/>
      <c r="T36" s="40"/>
      <c r="U36" s="131" t="s">
        <v>38</v>
      </c>
      <c r="V36" s="38">
        <f>V28</f>
        <v>0</v>
      </c>
      <c r="W36" s="39">
        <f>W28</f>
        <v>0</v>
      </c>
      <c r="X36" s="37"/>
      <c r="Y36" s="40"/>
      <c r="Z36" s="40"/>
      <c r="AA36" s="40"/>
      <c r="AB36" s="40"/>
      <c r="AC36" s="40"/>
      <c r="AD36" s="40"/>
      <c r="AE36" s="40"/>
      <c r="AF36" s="41"/>
      <c r="AI36" s="42"/>
    </row>
    <row r="37" spans="3:35" s="5" customFormat="1" ht="13.5">
      <c r="C37" s="9"/>
      <c r="D37" s="9"/>
      <c r="E37" s="9"/>
      <c r="F37" s="9"/>
      <c r="G37" s="9"/>
      <c r="H37" s="9"/>
      <c r="N37" s="10"/>
      <c r="O37" s="10"/>
      <c r="P37" s="6"/>
      <c r="Q37" s="6"/>
      <c r="R37" s="37" t="s">
        <v>1</v>
      </c>
      <c r="S37" s="38">
        <f>SUM(S29:S34)</f>
        <v>-15</v>
      </c>
      <c r="T37" s="39">
        <f>SUM(T29:T34)</f>
        <v>-4.9999999999999964</v>
      </c>
      <c r="U37" s="131" t="s">
        <v>0</v>
      </c>
      <c r="V37" s="38">
        <f>V36+S37</f>
        <v>-15</v>
      </c>
      <c r="W37" s="39">
        <f>W36+T37</f>
        <v>-4.9999999999999964</v>
      </c>
      <c r="X37" s="37">
        <f>SQRT(S37*S37+T37*T37)</f>
        <v>15.811388300841896</v>
      </c>
      <c r="Y37" s="40"/>
      <c r="Z37" s="40">
        <f>IF(AND(S37=0,T37=0),0,(lf*(-S37*COS(angf)+T37*SIN(angf)))/X37+V37)</f>
        <v>-14.396601240960832</v>
      </c>
      <c r="AA37" s="40">
        <f>IF(AND(S37=0,T37=0),0,V37)</f>
        <v>-15</v>
      </c>
      <c r="AB37" s="40">
        <f>IF(AND(S37=0,T37=0),0,lf*(-S37*COS(angf)-T37*SIN(angf))/X37+V37)</f>
        <v>-14.25002161027219</v>
      </c>
      <c r="AC37" s="40">
        <f>IF(AND(S37=0,T37=0),0,(lf*(-T37*COS(angf)-S37*SIN(angf)))/X37+W37)</f>
        <v>-4.554567695839205</v>
      </c>
      <c r="AD37" s="40">
        <f>IF(AND(S37=0,T37=0),0,W37)</f>
        <v>-4.9999999999999964</v>
      </c>
      <c r="AE37" s="40">
        <f>IF(AND(S37=0,T37=0),0,lf*(-T37*COS(angf)+S37*SIN(angf))/X37+W37)</f>
        <v>-4.994306587905129</v>
      </c>
      <c r="AF37" s="41"/>
      <c r="AI37" s="42"/>
    </row>
    <row r="38" spans="3:35" s="5" customFormat="1" ht="12.75">
      <c r="C38" s="9"/>
      <c r="D38" s="9"/>
      <c r="E38" s="9"/>
      <c r="F38" s="9"/>
      <c r="G38" s="9"/>
      <c r="H38" s="9"/>
      <c r="P38" s="6"/>
      <c r="Q38" s="6"/>
      <c r="R38" s="40"/>
      <c r="S38" s="40"/>
      <c r="T38" s="40"/>
      <c r="U38" s="132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/>
      <c r="AI38" s="42"/>
    </row>
    <row r="39" spans="3:35" s="5" customFormat="1" ht="15.75">
      <c r="C39" s="44" t="s">
        <v>8</v>
      </c>
      <c r="D39" s="45"/>
      <c r="E39" s="45" t="s">
        <v>9</v>
      </c>
      <c r="F39" s="9"/>
      <c r="G39" s="9"/>
      <c r="H39" s="9"/>
      <c r="P39" s="6"/>
      <c r="Q39" s="6"/>
      <c r="R39" s="9"/>
      <c r="S39" s="9"/>
      <c r="T39" s="9"/>
      <c r="U39" s="133"/>
      <c r="V39" s="12"/>
      <c r="W39" s="12"/>
      <c r="X39" s="6"/>
      <c r="Y39" s="6"/>
      <c r="Z39" s="6"/>
      <c r="AA39" s="10"/>
      <c r="AB39" s="10"/>
      <c r="AC39" s="10"/>
      <c r="AD39" s="10"/>
      <c r="AE39" s="10"/>
      <c r="AI39" s="42"/>
    </row>
    <row r="40" spans="3:35" s="5" customFormat="1" ht="12.75">
      <c r="C40" s="46">
        <f>a*SIN((0*pas)/(2*n))*aa</f>
        <v>0</v>
      </c>
      <c r="D40" s="47"/>
      <c r="E40" s="46">
        <f>a*COS((0*pas)/(2*n))*aa</f>
        <v>4</v>
      </c>
      <c r="F40" s="9"/>
      <c r="G40" s="9"/>
      <c r="H40" s="9"/>
      <c r="P40" s="6"/>
      <c r="Q40" s="6"/>
      <c r="R40" s="6"/>
      <c r="S40" s="10"/>
      <c r="T40" s="10"/>
      <c r="U40" s="134"/>
      <c r="V40" s="10"/>
      <c r="W40" s="10"/>
      <c r="AI40" s="42"/>
    </row>
    <row r="41" spans="3:35" s="5" customFormat="1" ht="12.75">
      <c r="C41" s="46">
        <f>a*SIN((1*pas)/(2*n))*aa</f>
        <v>0.6257378601609235</v>
      </c>
      <c r="D41" s="46">
        <f>a*SIN((1*pas)/(2*n))*aa</f>
        <v>0.6257378601609235</v>
      </c>
      <c r="E41" s="46">
        <f>a*COS((1*pas)/(2*n))*aa</f>
        <v>3.950753362380551</v>
      </c>
      <c r="F41" s="9"/>
      <c r="G41" s="9"/>
      <c r="H41" s="9"/>
      <c r="P41" s="6"/>
      <c r="Q41" s="6"/>
      <c r="R41" s="6"/>
      <c r="S41" s="10"/>
      <c r="T41" s="10"/>
      <c r="U41" s="134"/>
      <c r="V41" s="10"/>
      <c r="W41" s="10"/>
      <c r="AI41" s="10"/>
    </row>
    <row r="42" spans="3:35" s="5" customFormat="1" ht="12.75">
      <c r="C42" s="46">
        <f>a*SIN((2*pas)/(2*n))*aa</f>
        <v>1.2360679774997896</v>
      </c>
      <c r="D42" s="46">
        <f>a*SIN((2*pas)/(2*n))*aa</f>
        <v>1.2360679774997896</v>
      </c>
      <c r="E42" s="46">
        <f>a*COS((2*pas)/(2*n))*aa</f>
        <v>3.804226065180614</v>
      </c>
      <c r="F42" s="9"/>
      <c r="G42" s="9"/>
      <c r="H42" s="9"/>
      <c r="P42" s="2"/>
      <c r="Q42" s="6"/>
      <c r="R42" s="6"/>
      <c r="S42" s="10"/>
      <c r="T42" s="10"/>
      <c r="U42" s="134"/>
      <c r="V42" s="10"/>
      <c r="W42" s="10"/>
      <c r="AI42" s="10"/>
    </row>
    <row r="43" spans="3:35" s="5" customFormat="1" ht="12.75">
      <c r="C43" s="46">
        <f>a*SIN((3*pas)/(2*n))*aa</f>
        <v>1.815961998958187</v>
      </c>
      <c r="D43" s="46">
        <f>a*SIN((3*pas)/(2*n))*aa</f>
        <v>1.815961998958187</v>
      </c>
      <c r="E43" s="46">
        <f>a*COS((3*pas)/(2*n))*aa</f>
        <v>3.5640260967534716</v>
      </c>
      <c r="P43" s="2"/>
      <c r="Q43" s="6"/>
      <c r="R43" s="6"/>
      <c r="S43" s="10"/>
      <c r="T43" s="10"/>
      <c r="U43" s="134"/>
      <c r="V43" s="10"/>
      <c r="W43" s="10"/>
      <c r="AI43" s="10"/>
    </row>
    <row r="44" spans="3:35" s="5" customFormat="1" ht="12.75">
      <c r="C44" s="46">
        <f>a*SIN((4*pas)/(2*n))*aa</f>
        <v>2.3511410091698925</v>
      </c>
      <c r="D44" s="46">
        <f>a*SIN((4*pas)/(2*n))*aa</f>
        <v>2.3511410091698925</v>
      </c>
      <c r="E44" s="46">
        <f>a*COS((4*pas)/(2*n))*aa</f>
        <v>3.23606797749979</v>
      </c>
      <c r="P44" s="2"/>
      <c r="Q44" s="6"/>
      <c r="R44" s="2"/>
      <c r="U44" s="127"/>
      <c r="AI44" s="10"/>
    </row>
    <row r="45" spans="3:35" s="5" customFormat="1" ht="12.75">
      <c r="C45" s="46">
        <f>a*SIN((5*pas)/(2*n))*aa</f>
        <v>2.82842712474619</v>
      </c>
      <c r="D45" s="46">
        <f>a*SIN((5*pas)/(2*n))*aa</f>
        <v>2.82842712474619</v>
      </c>
      <c r="E45" s="46">
        <f>a*COS((5*pas)/(2*n))*aa</f>
        <v>2.8284271247461903</v>
      </c>
      <c r="P45" s="2"/>
      <c r="Q45" s="6"/>
      <c r="R45" s="2"/>
      <c r="U45" s="127"/>
      <c r="AI45" s="10"/>
    </row>
    <row r="46" spans="3:35" s="5" customFormat="1" ht="12.75">
      <c r="C46" s="46">
        <f>a*SIN((6*pas)/(2*n))*aa</f>
        <v>3.23606797749979</v>
      </c>
      <c r="D46" s="46">
        <f>a*SIN((6*pas)/(2*n))*aa</f>
        <v>3.23606797749979</v>
      </c>
      <c r="E46" s="46">
        <f>a*COS((6*pas)/(2*n))*aa</f>
        <v>2.3511410091698925</v>
      </c>
      <c r="P46" s="2"/>
      <c r="Q46" s="6"/>
      <c r="R46" s="2"/>
      <c r="U46" s="127"/>
      <c r="AI46" s="10"/>
    </row>
    <row r="47" spans="3:35" s="5" customFormat="1" ht="12.75">
      <c r="C47" s="46">
        <f>a*SIN((7*pas)/(2*n))*aa</f>
        <v>3.564026096753471</v>
      </c>
      <c r="D47" s="46">
        <f>a*SIN((7*pas)/(2*n))*aa</f>
        <v>3.564026096753471</v>
      </c>
      <c r="E47" s="46">
        <f>a*COS((7*pas)/(2*n))*aa</f>
        <v>1.8159619989581872</v>
      </c>
      <c r="I47" s="28"/>
      <c r="J47" s="46"/>
      <c r="K47" s="9"/>
      <c r="L47" s="9"/>
      <c r="M47" s="9"/>
      <c r="N47" s="12"/>
      <c r="O47" s="12"/>
      <c r="P47" s="2"/>
      <c r="Q47" s="6"/>
      <c r="R47" s="2"/>
      <c r="U47" s="127"/>
      <c r="AI47" s="10"/>
    </row>
    <row r="48" spans="3:35" s="5" customFormat="1" ht="12.75">
      <c r="C48" s="46">
        <f>a*SIN((8*pas)/(2*n))*aa</f>
        <v>3.804226065180614</v>
      </c>
      <c r="D48" s="46">
        <f>a*SIN((8*pas)/(2*n))*aa</f>
        <v>3.804226065180614</v>
      </c>
      <c r="E48" s="46">
        <f>a*COS((8*pas)/(2*n))*aa</f>
        <v>1.2360679774997898</v>
      </c>
      <c r="I48" s="48"/>
      <c r="J48" s="48"/>
      <c r="K48" s="9"/>
      <c r="L48" s="9"/>
      <c r="M48" s="9"/>
      <c r="N48" s="12"/>
      <c r="O48" s="12"/>
      <c r="P48" s="2"/>
      <c r="Q48" s="6"/>
      <c r="R48" s="2"/>
      <c r="U48" s="127"/>
      <c r="AI48" s="10"/>
    </row>
    <row r="49" spans="3:35" s="5" customFormat="1" ht="12.75">
      <c r="C49" s="46">
        <f>a*SIN((9*pas)/(2*n))*aa</f>
        <v>3.950753362380551</v>
      </c>
      <c r="D49" s="46">
        <f>a*SIN((9*pas)/(2*n))*aa</f>
        <v>3.950753362380551</v>
      </c>
      <c r="E49" s="46">
        <f>a*COS((9*pas)/(2*n))*aa</f>
        <v>0.6257378601609237</v>
      </c>
      <c r="I49" s="49"/>
      <c r="J49" s="49"/>
      <c r="K49" s="9"/>
      <c r="L49" s="9"/>
      <c r="M49" s="9"/>
      <c r="N49" s="12"/>
      <c r="O49" s="12"/>
      <c r="P49" s="2"/>
      <c r="Q49" s="6"/>
      <c r="R49" s="2"/>
      <c r="U49" s="127"/>
      <c r="AI49" s="10"/>
    </row>
    <row r="50" spans="3:35" s="5" customFormat="1" ht="12.75">
      <c r="C50" s="46">
        <f>a*SIN((10*pas)/(2*n))*aa</f>
        <v>4</v>
      </c>
      <c r="D50" s="46">
        <f>a*SIN((10*pas)/(2*n))*aa</f>
        <v>4</v>
      </c>
      <c r="E50" s="46">
        <f>a*COS((10*pas)/(2*n))*aa</f>
        <v>2.45029690981724E-16</v>
      </c>
      <c r="I50" s="49"/>
      <c r="J50" s="49"/>
      <c r="K50" s="9"/>
      <c r="L50" s="9"/>
      <c r="M50" s="9"/>
      <c r="N50" s="12"/>
      <c r="O50" s="12"/>
      <c r="P50" s="2"/>
      <c r="Q50" s="6"/>
      <c r="R50" s="2"/>
      <c r="U50" s="127"/>
      <c r="AI50" s="10"/>
    </row>
    <row r="51" spans="3:35" s="5" customFormat="1" ht="12.75">
      <c r="C51" s="46">
        <f>a*SIN((11*pas)/(2*n))*aa</f>
        <v>3.950753362380551</v>
      </c>
      <c r="D51" s="46">
        <f>a*SIN((11*pas)/(2*n))*aa</f>
        <v>3.950753362380551</v>
      </c>
      <c r="E51" s="46">
        <f>a*COS((11*pas)/(2*n))*aa</f>
        <v>-0.6257378601609233</v>
      </c>
      <c r="I51" s="48"/>
      <c r="J51" s="48"/>
      <c r="K51" s="9"/>
      <c r="L51" s="9"/>
      <c r="M51" s="9"/>
      <c r="N51" s="12"/>
      <c r="O51" s="12"/>
      <c r="P51" s="2"/>
      <c r="Q51" s="6"/>
      <c r="R51" s="2"/>
      <c r="U51" s="127"/>
      <c r="AI51" s="10"/>
    </row>
    <row r="52" spans="3:35" s="5" customFormat="1" ht="12.75">
      <c r="C52" s="46">
        <f>a*SIN((12*pas)/(2*n))*aa</f>
        <v>3.8042260651806146</v>
      </c>
      <c r="D52" s="46">
        <f>a*SIN((12*pas)/(2*n))*aa</f>
        <v>3.8042260651806146</v>
      </c>
      <c r="E52" s="46">
        <f>a*COS((12*pas)/(2*n))*aa</f>
        <v>-1.2360679774997894</v>
      </c>
      <c r="I52" s="49"/>
      <c r="J52" s="49"/>
      <c r="K52" s="9"/>
      <c r="L52" s="9"/>
      <c r="M52" s="9"/>
      <c r="N52" s="12"/>
      <c r="O52" s="12"/>
      <c r="P52" s="2"/>
      <c r="Q52" s="6"/>
      <c r="R52" s="2"/>
      <c r="U52" s="127"/>
      <c r="AI52" s="10"/>
    </row>
    <row r="53" spans="3:35" s="5" customFormat="1" ht="12.75">
      <c r="C53" s="46">
        <f>a*SIN((13*pas)/(2*n))*aa</f>
        <v>3.5640260967534716</v>
      </c>
      <c r="D53" s="46">
        <f>a*SIN((13*pas)/(2*n))*aa</f>
        <v>3.5640260967534716</v>
      </c>
      <c r="E53" s="46">
        <f>a*COS((13*pas)/(2*n))*aa</f>
        <v>-1.8159619989581868</v>
      </c>
      <c r="I53" s="49"/>
      <c r="J53" s="49"/>
      <c r="K53" s="9"/>
      <c r="L53" s="9"/>
      <c r="M53" s="9"/>
      <c r="N53" s="12"/>
      <c r="O53" s="12"/>
      <c r="P53" s="2"/>
      <c r="Q53" s="6"/>
      <c r="R53" s="2"/>
      <c r="U53" s="127"/>
      <c r="AI53" s="10"/>
    </row>
    <row r="54" spans="3:35" s="5" customFormat="1" ht="12.75">
      <c r="C54" s="46">
        <f>a*SIN((14*pas)/(2*n))*aa</f>
        <v>3.23606797749979</v>
      </c>
      <c r="D54" s="46">
        <f>a*SIN((14*pas)/(2*n))*aa</f>
        <v>3.23606797749979</v>
      </c>
      <c r="E54" s="46">
        <f>a*COS((14*pas)/(2*n))*aa</f>
        <v>-2.351141009169892</v>
      </c>
      <c r="O54" s="12"/>
      <c r="P54" s="2"/>
      <c r="Q54" s="6"/>
      <c r="R54" s="2"/>
      <c r="U54" s="127"/>
      <c r="AI54" s="10"/>
    </row>
    <row r="55" spans="3:35" s="5" customFormat="1" ht="12.75">
      <c r="C55" s="46">
        <f>a*SIN((15*pas)/(2*n))*aa</f>
        <v>2.8284271247461903</v>
      </c>
      <c r="D55" s="46">
        <f>a*SIN((15*pas)/(2*n))*aa</f>
        <v>2.8284271247461903</v>
      </c>
      <c r="E55" s="46">
        <f>a*COS((15*pas)/(2*n))*aa</f>
        <v>-2.82842712474619</v>
      </c>
      <c r="O55" s="12"/>
      <c r="P55" s="2"/>
      <c r="Q55" s="6"/>
      <c r="R55" s="2"/>
      <c r="U55" s="127"/>
      <c r="AI55" s="10"/>
    </row>
    <row r="56" spans="3:35" s="5" customFormat="1" ht="12.75">
      <c r="C56" s="46">
        <f>a*SIN((16*pas)/(2*n))*aa</f>
        <v>2.351141009169893</v>
      </c>
      <c r="D56" s="46">
        <f>a*SIN((16*pas)/(2*n))*aa</f>
        <v>2.351141009169893</v>
      </c>
      <c r="E56" s="46">
        <f>a*COS((16*pas)/(2*n))*aa</f>
        <v>-3.2360679774997894</v>
      </c>
      <c r="O56" s="12"/>
      <c r="P56" s="2"/>
      <c r="Q56" s="6"/>
      <c r="R56" s="2"/>
      <c r="U56" s="127"/>
      <c r="AI56" s="10"/>
    </row>
    <row r="57" spans="3:35" s="5" customFormat="1" ht="12.75">
      <c r="C57" s="46">
        <f>a*SIN((17*pas)/(2*n))*aa</f>
        <v>1.8159619989581874</v>
      </c>
      <c r="D57" s="46">
        <f>a*SIN((17*pas)/(2*n))*aa</f>
        <v>1.8159619989581874</v>
      </c>
      <c r="E57" s="46">
        <f>a*COS((17*pas)/(2*n))*aa</f>
        <v>-3.564026096753471</v>
      </c>
      <c r="O57" s="12"/>
      <c r="P57" s="2"/>
      <c r="Q57" s="6"/>
      <c r="R57" s="2"/>
      <c r="U57" s="127"/>
      <c r="AI57" s="10"/>
    </row>
    <row r="58" spans="3:35" s="5" customFormat="1" ht="12.75">
      <c r="C58" s="46">
        <f>a*SIN((18*pas)/(2*n))*aa</f>
        <v>1.23606797749979</v>
      </c>
      <c r="D58" s="46">
        <f>a*SIN((18*pas)/(2*n))*aa</f>
        <v>1.23606797749979</v>
      </c>
      <c r="E58" s="46">
        <f>a*COS((18*pas)/(2*n))*aa</f>
        <v>-3.804226065180614</v>
      </c>
      <c r="O58" s="12"/>
      <c r="P58" s="2"/>
      <c r="Q58" s="6"/>
      <c r="R58" s="2"/>
      <c r="U58" s="127"/>
      <c r="AI58" s="10"/>
    </row>
    <row r="59" spans="3:35" s="5" customFormat="1" ht="12.75">
      <c r="C59" s="46">
        <f>a*SIN((19*pas)/(2*n))*aa</f>
        <v>0.6257378601609239</v>
      </c>
      <c r="D59" s="46">
        <f>a*SIN((19*pas)/(2*n))*aa</f>
        <v>0.6257378601609239</v>
      </c>
      <c r="E59" s="46">
        <f>a*COS((19*pas)/(2*n))*aa</f>
        <v>-3.9507533623805506</v>
      </c>
      <c r="O59" s="12"/>
      <c r="P59" s="2"/>
      <c r="Q59" s="6"/>
      <c r="R59" s="2"/>
      <c r="U59" s="127"/>
      <c r="AI59" s="10"/>
    </row>
    <row r="60" spans="3:35" s="5" customFormat="1" ht="12.75">
      <c r="C60" s="46">
        <f>a*SIN((20*pas)/(2*n))*aa</f>
        <v>4.90059381963448E-16</v>
      </c>
      <c r="D60" s="46">
        <f>a*SIN((20*pas)/(2*n))*aa</f>
        <v>4.90059381963448E-16</v>
      </c>
      <c r="E60" s="46">
        <f>a*COS((20*pas)/(2*n))*aa</f>
        <v>-4</v>
      </c>
      <c r="O60" s="12"/>
      <c r="P60" s="2"/>
      <c r="Q60" s="6"/>
      <c r="R60" s="2"/>
      <c r="U60" s="127"/>
      <c r="AI60" s="10"/>
    </row>
    <row r="61" spans="3:35" s="5" customFormat="1" ht="12.75">
      <c r="C61" s="46"/>
      <c r="D61" s="46"/>
      <c r="E61" s="46"/>
      <c r="O61" s="12"/>
      <c r="P61" s="2"/>
      <c r="Q61" s="6"/>
      <c r="R61" s="2"/>
      <c r="U61" s="127"/>
      <c r="AI61" s="10"/>
    </row>
    <row r="62" spans="3:35" s="5" customFormat="1" ht="12.75">
      <c r="C62" s="46"/>
      <c r="D62" s="9"/>
      <c r="E62" s="46"/>
      <c r="O62" s="12"/>
      <c r="P62" s="2"/>
      <c r="Q62" s="6"/>
      <c r="R62" s="2"/>
      <c r="U62" s="127"/>
      <c r="AI62" s="10"/>
    </row>
    <row r="63" spans="15:35" s="5" customFormat="1" ht="12.75">
      <c r="O63" s="12"/>
      <c r="P63" s="9"/>
      <c r="Q63" s="9"/>
      <c r="T63" s="12"/>
      <c r="U63" s="135">
        <f>PI()/n</f>
        <v>3.141592653589793</v>
      </c>
      <c r="V63" s="6"/>
      <c r="AI63" s="10"/>
    </row>
    <row r="64" spans="15:35" s="5" customFormat="1" ht="12.75">
      <c r="O64" s="12"/>
      <c r="P64" s="11"/>
      <c r="Q64" s="11"/>
      <c r="R64" s="13"/>
      <c r="S64" s="13"/>
      <c r="T64" s="13"/>
      <c r="U64" s="136"/>
      <c r="V64" s="15"/>
      <c r="AI64" s="10"/>
    </row>
    <row r="65" spans="15:35" s="5" customFormat="1" ht="12.75">
      <c r="O65" s="12"/>
      <c r="P65" s="11"/>
      <c r="Q65" s="11"/>
      <c r="R65" s="11"/>
      <c r="S65" s="13"/>
      <c r="T65" s="13"/>
      <c r="U65" s="137"/>
      <c r="V65" s="17"/>
      <c r="AI65" s="10"/>
    </row>
    <row r="66" spans="15:35" s="5" customFormat="1" ht="12.75">
      <c r="O66" s="50"/>
      <c r="P66" s="11"/>
      <c r="Q66" s="11"/>
      <c r="R66" s="11"/>
      <c r="S66" s="13"/>
      <c r="T66" s="19"/>
      <c r="U66" s="138"/>
      <c r="V66" s="15"/>
      <c r="AI66" s="10"/>
    </row>
    <row r="67" spans="10:35" s="5" customFormat="1" ht="12.75">
      <c r="J67" s="9"/>
      <c r="K67" s="9"/>
      <c r="L67" s="51"/>
      <c r="M67" s="12"/>
      <c r="N67" s="12"/>
      <c r="O67" s="12"/>
      <c r="P67" s="52"/>
      <c r="Q67" s="13"/>
      <c r="R67" s="13"/>
      <c r="S67" s="13"/>
      <c r="T67" s="19"/>
      <c r="U67" s="137"/>
      <c r="V67" s="15"/>
      <c r="AI67" s="10"/>
    </row>
    <row r="68" spans="10:35" s="5" customFormat="1" ht="15">
      <c r="J68" s="9"/>
      <c r="K68" s="9"/>
      <c r="L68" s="53"/>
      <c r="M68" s="11"/>
      <c r="N68" s="11"/>
      <c r="O68" s="11"/>
      <c r="P68" s="11"/>
      <c r="Q68" s="54"/>
      <c r="R68" s="54"/>
      <c r="S68" s="54"/>
      <c r="T68" s="19">
        <v>2</v>
      </c>
      <c r="U68" s="137"/>
      <c r="V68" s="15"/>
      <c r="AI68" s="10"/>
    </row>
    <row r="69" spans="10:35" s="5" customFormat="1" ht="15">
      <c r="J69" s="9"/>
      <c r="K69" s="9"/>
      <c r="L69" s="53"/>
      <c r="M69" s="11"/>
      <c r="N69" s="11"/>
      <c r="O69" s="11"/>
      <c r="P69" s="11"/>
      <c r="Q69" s="54"/>
      <c r="R69" s="54"/>
      <c r="S69" s="54"/>
      <c r="T69" s="19"/>
      <c r="U69" s="137"/>
      <c r="V69" s="15"/>
      <c r="AI69" s="10"/>
    </row>
    <row r="70" spans="10:35" s="5" customFormat="1" ht="15">
      <c r="J70" s="9"/>
      <c r="K70" s="9"/>
      <c r="L70" s="53"/>
      <c r="M70" s="11"/>
      <c r="N70" s="11"/>
      <c r="O70" s="11"/>
      <c r="P70" s="11"/>
      <c r="Q70" s="54"/>
      <c r="R70" s="54"/>
      <c r="S70" s="54"/>
      <c r="T70" s="55">
        <f>IF(AA3=1,"P /",AA3)</f>
        <v>2</v>
      </c>
      <c r="U70" s="128"/>
      <c r="V70" s="15"/>
      <c r="AI70" s="10"/>
    </row>
    <row r="71" spans="10:35" s="5" customFormat="1" ht="15">
      <c r="J71" s="9"/>
      <c r="K71" s="9"/>
      <c r="L71" s="56"/>
      <c r="M71" s="11"/>
      <c r="N71" s="11"/>
      <c r="O71" s="11"/>
      <c r="P71" s="11"/>
      <c r="Q71" s="54"/>
      <c r="R71" s="54"/>
      <c r="S71" s="54"/>
      <c r="T71" s="57">
        <f>IF(AA4=1," ",AA4)</f>
        <v>2</v>
      </c>
      <c r="U71" s="128"/>
      <c r="V71" s="58">
        <f>1/(AA3/AA4)</f>
        <v>1</v>
      </c>
      <c r="AI71" s="10"/>
    </row>
    <row r="72" spans="10:35" s="5" customFormat="1" ht="12.75">
      <c r="J72" s="9"/>
      <c r="K72" s="9"/>
      <c r="L72" s="59"/>
      <c r="M72" s="11"/>
      <c r="N72" s="11"/>
      <c r="O72" s="60"/>
      <c r="P72" s="11"/>
      <c r="Q72" s="11"/>
      <c r="R72" s="9"/>
      <c r="S72" s="12"/>
      <c r="T72" s="12"/>
      <c r="U72" s="139"/>
      <c r="V72" s="15"/>
      <c r="AI72" s="10"/>
    </row>
    <row r="73" spans="10:35" s="5" customFormat="1" ht="12.75">
      <c r="J73" s="9"/>
      <c r="K73" s="9"/>
      <c r="L73" s="11"/>
      <c r="M73" s="11"/>
      <c r="N73" s="11"/>
      <c r="O73" s="11"/>
      <c r="P73" s="11"/>
      <c r="Q73" s="11"/>
      <c r="R73" s="9"/>
      <c r="S73" s="12"/>
      <c r="T73" s="12"/>
      <c r="U73" s="139"/>
      <c r="V73" s="15"/>
      <c r="AI73" s="10"/>
    </row>
    <row r="74" spans="10:35" s="5" customFormat="1" ht="12.75">
      <c r="J74" s="9"/>
      <c r="K74" s="9"/>
      <c r="L74" s="11"/>
      <c r="M74" s="11"/>
      <c r="N74" s="11"/>
      <c r="O74" s="11"/>
      <c r="P74" s="11"/>
      <c r="Q74" s="11"/>
      <c r="R74" s="9"/>
      <c r="S74" s="12"/>
      <c r="T74" s="12"/>
      <c r="U74" s="139"/>
      <c r="V74" s="15"/>
      <c r="AI74" s="10"/>
    </row>
    <row r="75" spans="10:35" s="5" customFormat="1" ht="12.75">
      <c r="J75" s="9"/>
      <c r="K75" s="9"/>
      <c r="L75" s="11"/>
      <c r="M75" s="11"/>
      <c r="N75" s="11"/>
      <c r="O75" s="11"/>
      <c r="P75" s="11"/>
      <c r="Q75" s="11"/>
      <c r="R75" s="9"/>
      <c r="S75" s="12"/>
      <c r="T75" s="12"/>
      <c r="U75" s="139"/>
      <c r="V75" s="15"/>
      <c r="AI75" s="10"/>
    </row>
    <row r="76" spans="10:35" s="5" customFormat="1" ht="12.75">
      <c r="J76" s="9"/>
      <c r="K76" s="9"/>
      <c r="L76" s="11"/>
      <c r="M76" s="11"/>
      <c r="N76" s="11"/>
      <c r="O76" s="11"/>
      <c r="P76" s="11"/>
      <c r="Q76" s="11"/>
      <c r="R76" s="11"/>
      <c r="S76" s="11"/>
      <c r="T76" s="11"/>
      <c r="U76" s="140"/>
      <c r="V76" s="15"/>
      <c r="AI76" s="10"/>
    </row>
    <row r="77" spans="10:35" s="5" customFormat="1" ht="12.75">
      <c r="J77" s="9"/>
      <c r="K77" s="9"/>
      <c r="L77" s="11"/>
      <c r="M77" s="11"/>
      <c r="N77" s="11"/>
      <c r="O77" s="11"/>
      <c r="P77" s="11"/>
      <c r="Q77" s="11"/>
      <c r="R77" s="11"/>
      <c r="S77" s="11"/>
      <c r="T77" s="11"/>
      <c r="U77" s="140"/>
      <c r="V77" s="15"/>
      <c r="AI77" s="10"/>
    </row>
    <row r="78" spans="10:35" s="5" customFormat="1" ht="12.75">
      <c r="J78" s="9"/>
      <c r="K78" s="9"/>
      <c r="L78" s="11"/>
      <c r="M78" s="11"/>
      <c r="N78" s="11"/>
      <c r="O78" s="11"/>
      <c r="P78" s="11"/>
      <c r="Q78" s="11"/>
      <c r="R78" s="12"/>
      <c r="S78" s="61"/>
      <c r="T78" s="12"/>
      <c r="U78" s="139"/>
      <c r="V78" s="15"/>
      <c r="AI78" s="10"/>
    </row>
    <row r="79" spans="10:35" s="5" customFormat="1" ht="15.75">
      <c r="J79" s="9"/>
      <c r="K79" s="9"/>
      <c r="L79" s="11"/>
      <c r="M79" s="11"/>
      <c r="N79" s="11"/>
      <c r="O79" s="11"/>
      <c r="P79" s="11"/>
      <c r="Q79" s="19">
        <f>3.1419/25</f>
        <v>0.125676</v>
      </c>
      <c r="R79" s="45"/>
      <c r="S79" s="62"/>
      <c r="T79" s="62"/>
      <c r="U79" s="141"/>
      <c r="V79" s="15"/>
      <c r="AI79" s="10"/>
    </row>
    <row r="80" spans="3:35" s="5" customFormat="1" ht="15.75">
      <c r="C80" s="9"/>
      <c r="D80" s="9"/>
      <c r="E80" s="9"/>
      <c r="F80" s="9"/>
      <c r="G80" s="9"/>
      <c r="H80" s="9"/>
      <c r="J80" s="9"/>
      <c r="K80" s="9"/>
      <c r="L80" s="11"/>
      <c r="M80" s="11"/>
      <c r="N80" s="11"/>
      <c r="O80" s="11"/>
      <c r="P80" s="11"/>
      <c r="Q80" s="11"/>
      <c r="R80" s="45"/>
      <c r="S80" s="64"/>
      <c r="T80" s="65"/>
      <c r="U80" s="142"/>
      <c r="V80" s="15"/>
      <c r="AI80" s="10"/>
    </row>
    <row r="81" spans="3:35" s="5" customFormat="1" ht="15.75">
      <c r="C81" s="9"/>
      <c r="D81" s="9"/>
      <c r="E81" s="9"/>
      <c r="F81" s="9"/>
      <c r="G81" s="9"/>
      <c r="H81" s="9"/>
      <c r="J81" s="9"/>
      <c r="K81" s="9"/>
      <c r="L81" s="11"/>
      <c r="M81" s="11"/>
      <c r="N81" s="11"/>
      <c r="O81" s="11"/>
      <c r="P81" s="11"/>
      <c r="Q81" s="11"/>
      <c r="R81" s="45"/>
      <c r="S81" s="64"/>
      <c r="T81" s="65"/>
      <c r="U81" s="142"/>
      <c r="V81" s="15"/>
      <c r="AI81" s="10"/>
    </row>
    <row r="82" spans="3:35" s="5" customFormat="1" ht="12.75">
      <c r="C82" s="9"/>
      <c r="D82" s="9"/>
      <c r="E82" s="9"/>
      <c r="F82" s="9"/>
      <c r="G82" s="9"/>
      <c r="H82" s="9"/>
      <c r="J82" s="9"/>
      <c r="K82" s="9"/>
      <c r="L82" s="11"/>
      <c r="M82" s="11"/>
      <c r="N82" s="11"/>
      <c r="O82" s="11"/>
      <c r="P82" s="11"/>
      <c r="Q82" s="11"/>
      <c r="R82" s="19"/>
      <c r="S82" s="19"/>
      <c r="T82" s="19"/>
      <c r="U82" s="137"/>
      <c r="V82" s="15"/>
      <c r="AI82" s="10"/>
    </row>
    <row r="83" spans="3:35" s="5" customFormat="1" ht="15">
      <c r="C83" s="9"/>
      <c r="D83" s="9"/>
      <c r="E83" s="9"/>
      <c r="F83" s="9"/>
      <c r="G83" s="9"/>
      <c r="H83" s="9"/>
      <c r="J83" s="9"/>
      <c r="K83" s="9"/>
      <c r="L83" s="11"/>
      <c r="M83" s="11"/>
      <c r="N83" s="11"/>
      <c r="O83" s="13"/>
      <c r="P83" s="11"/>
      <c r="Q83" s="11"/>
      <c r="R83" s="66"/>
      <c r="S83" s="66"/>
      <c r="T83" s="66"/>
      <c r="U83" s="143"/>
      <c r="V83" s="15"/>
      <c r="AI83" s="10"/>
    </row>
    <row r="84" spans="3:35" s="5" customFormat="1" ht="15">
      <c r="C84" s="9"/>
      <c r="D84" s="9"/>
      <c r="E84" s="9"/>
      <c r="F84" s="9"/>
      <c r="G84" s="9"/>
      <c r="H84" s="9"/>
      <c r="J84" s="9"/>
      <c r="K84" s="9"/>
      <c r="L84" s="11"/>
      <c r="M84" s="11"/>
      <c r="N84" s="11"/>
      <c r="O84" s="11">
        <f>PI()/12</f>
        <v>0.2617993877991494</v>
      </c>
      <c r="P84" s="11"/>
      <c r="Q84" s="11"/>
      <c r="R84" s="66"/>
      <c r="S84" s="66"/>
      <c r="T84" s="66"/>
      <c r="U84" s="143"/>
      <c r="V84" s="15"/>
      <c r="AI84" s="10"/>
    </row>
    <row r="85" spans="3:35" s="5" customFormat="1" ht="15">
      <c r="C85" s="9"/>
      <c r="D85" s="9"/>
      <c r="E85" s="9"/>
      <c r="F85" s="9"/>
      <c r="G85" s="9"/>
      <c r="H85" s="9"/>
      <c r="J85" s="9"/>
      <c r="K85" s="9"/>
      <c r="L85" s="11"/>
      <c r="M85" s="11"/>
      <c r="N85" s="11"/>
      <c r="O85" s="11">
        <v>172</v>
      </c>
      <c r="P85" s="13"/>
      <c r="Q85" s="13"/>
      <c r="R85" s="66"/>
      <c r="S85" s="66"/>
      <c r="T85" s="66"/>
      <c r="U85" s="143"/>
      <c r="V85" s="15"/>
      <c r="AI85" s="10"/>
    </row>
    <row r="86" spans="3:35" s="5" customFormat="1" ht="12.75">
      <c r="C86" s="9"/>
      <c r="D86" s="9"/>
      <c r="E86" s="9"/>
      <c r="F86" s="9"/>
      <c r="G86" s="9"/>
      <c r="H86" s="9"/>
      <c r="J86" s="9"/>
      <c r="K86" s="9"/>
      <c r="L86" s="11"/>
      <c r="M86" s="11"/>
      <c r="N86" s="11"/>
      <c r="O86" s="13"/>
      <c r="P86" s="13"/>
      <c r="Q86" s="13"/>
      <c r="R86" s="13"/>
      <c r="S86" s="13"/>
      <c r="T86" s="16"/>
      <c r="U86" s="144"/>
      <c r="V86" s="15"/>
      <c r="AI86" s="10"/>
    </row>
    <row r="87" spans="3:35" s="5" customFormat="1" ht="12.75">
      <c r="C87" s="9"/>
      <c r="D87" s="9"/>
      <c r="E87" s="9"/>
      <c r="F87" s="9"/>
      <c r="G87" s="9"/>
      <c r="H87" s="9"/>
      <c r="J87" s="9"/>
      <c r="K87" s="9"/>
      <c r="L87" s="11"/>
      <c r="M87" s="11"/>
      <c r="N87" s="11"/>
      <c r="O87" s="11"/>
      <c r="P87" s="13"/>
      <c r="Q87" s="13"/>
      <c r="R87" s="13"/>
      <c r="S87" s="13"/>
      <c r="T87" s="16"/>
      <c r="U87" s="144"/>
      <c r="V87" s="15"/>
      <c r="AI87" s="10"/>
    </row>
    <row r="88" spans="3:35" s="5" customFormat="1" ht="12.75">
      <c r="C88" s="9"/>
      <c r="D88" s="9"/>
      <c r="E88" s="9"/>
      <c r="F88" s="9"/>
      <c r="G88" s="46">
        <v>0.5</v>
      </c>
      <c r="H88" s="47"/>
      <c r="J88" s="9"/>
      <c r="K88" s="9"/>
      <c r="L88" s="11"/>
      <c r="M88" s="11"/>
      <c r="N88" s="11"/>
      <c r="O88" s="13"/>
      <c r="P88" s="13"/>
      <c r="Q88" s="13"/>
      <c r="R88" s="13"/>
      <c r="S88" s="13"/>
      <c r="T88" s="16"/>
      <c r="U88" s="144"/>
      <c r="V88" s="15"/>
      <c r="AI88" s="10"/>
    </row>
    <row r="89" spans="3:35" s="5" customFormat="1" ht="12.75">
      <c r="C89" s="9"/>
      <c r="D89" s="9"/>
      <c r="E89" s="9"/>
      <c r="F89" s="9"/>
      <c r="G89" s="9"/>
      <c r="H89" s="9"/>
      <c r="J89" s="9"/>
      <c r="K89" s="9"/>
      <c r="L89" s="11"/>
      <c r="M89" s="11"/>
      <c r="N89" s="11"/>
      <c r="O89" s="13"/>
      <c r="P89" s="13"/>
      <c r="Q89" s="13"/>
      <c r="R89" s="13"/>
      <c r="S89" s="13"/>
      <c r="T89" s="16"/>
      <c r="U89" s="144"/>
      <c r="V89" s="15"/>
      <c r="AI89" s="10"/>
    </row>
    <row r="90" spans="3:35" s="5" customFormat="1" ht="12.75">
      <c r="C90" s="9"/>
      <c r="D90" s="9"/>
      <c r="E90" s="9"/>
      <c r="F90" s="9"/>
      <c r="G90" s="9"/>
      <c r="H90" s="9"/>
      <c r="J90" s="9"/>
      <c r="K90" s="9"/>
      <c r="L90" s="9"/>
      <c r="M90" s="9"/>
      <c r="N90" s="12"/>
      <c r="O90" s="12"/>
      <c r="P90" s="6"/>
      <c r="Q90" s="6"/>
      <c r="R90" s="2"/>
      <c r="U90" s="127"/>
      <c r="AI90" s="10"/>
    </row>
    <row r="91" spans="6:35" ht="15.75">
      <c r="F91" s="11"/>
      <c r="G91" s="67" t="s">
        <v>8</v>
      </c>
      <c r="H91" s="68"/>
      <c r="J91" s="11"/>
      <c r="K91" s="11"/>
      <c r="L91" s="11"/>
      <c r="M91" s="11"/>
      <c r="N91" s="19"/>
      <c r="O91" s="19"/>
      <c r="AI91" s="16"/>
    </row>
    <row r="92" spans="6:35" ht="12.75">
      <c r="F92" s="11"/>
      <c r="G92" s="70">
        <f>0*Q3</f>
        <v>0</v>
      </c>
      <c r="H92" s="71"/>
      <c r="J92" s="11"/>
      <c r="K92" s="11"/>
      <c r="L92" s="11"/>
      <c r="M92" s="11"/>
      <c r="N92" s="19"/>
      <c r="O92" s="19"/>
      <c r="AI92" s="16"/>
    </row>
    <row r="93" spans="6:35" ht="12.75">
      <c r="F93" s="11"/>
      <c r="G93" s="72">
        <f>a*SIN(1*AI3)*N134</f>
        <v>6.180339887498948</v>
      </c>
      <c r="H93" s="71"/>
      <c r="J93" s="11"/>
      <c r="K93" s="11"/>
      <c r="L93" s="11"/>
      <c r="M93" s="11"/>
      <c r="N93" s="19"/>
      <c r="O93" s="19"/>
      <c r="AI93" s="16"/>
    </row>
    <row r="94" spans="6:35" ht="12.75">
      <c r="F94" s="11"/>
      <c r="G94" s="72">
        <f>a*SIN(2*AI3)*N134</f>
        <v>11.755705045849464</v>
      </c>
      <c r="H94" s="71"/>
      <c r="J94" s="11"/>
      <c r="K94" s="11"/>
      <c r="L94" s="11"/>
      <c r="M94" s="11"/>
      <c r="N94" s="19"/>
      <c r="O94" s="19"/>
      <c r="AI94" s="16"/>
    </row>
    <row r="95" spans="6:35" ht="12.75">
      <c r="F95" s="11"/>
      <c r="G95" s="72">
        <f>a*SIN(3*AI3)*N134</f>
        <v>16.18033988749895</v>
      </c>
      <c r="H95" s="71"/>
      <c r="J95" s="11"/>
      <c r="K95" s="11"/>
      <c r="L95" s="11"/>
      <c r="M95" s="11"/>
      <c r="N95" s="19"/>
      <c r="O95" s="19"/>
      <c r="AI95" s="16"/>
    </row>
    <row r="96" spans="6:35" ht="12.75">
      <c r="F96" s="11"/>
      <c r="G96" s="72">
        <f>(SQRT(3)/2)*N134</f>
        <v>8.660254037844386</v>
      </c>
      <c r="H96" s="71"/>
      <c r="J96" s="11"/>
      <c r="K96" s="11"/>
      <c r="L96" s="11"/>
      <c r="M96" s="11"/>
      <c r="N96" s="19"/>
      <c r="O96" s="19"/>
      <c r="AI96" s="16"/>
    </row>
    <row r="97" spans="6:35" ht="12.75">
      <c r="F97" s="11"/>
      <c r="G97" s="72">
        <f>a*SIN(4*AI3)*N134</f>
        <v>19.02113032590307</v>
      </c>
      <c r="H97" s="71"/>
      <c r="J97" s="11"/>
      <c r="K97" s="11"/>
      <c r="L97" s="11"/>
      <c r="M97" s="11"/>
      <c r="N97" s="19"/>
      <c r="O97" s="19"/>
      <c r="AI97" s="16"/>
    </row>
    <row r="98" spans="6:35" ht="12.75">
      <c r="F98" s="11"/>
      <c r="G98" s="72">
        <f>a*SIN(5*AI3)*N134</f>
        <v>20</v>
      </c>
      <c r="H98" s="73"/>
      <c r="J98" s="11"/>
      <c r="K98" s="11"/>
      <c r="L98" s="11"/>
      <c r="M98" s="11"/>
      <c r="N98" s="19"/>
      <c r="O98" s="19"/>
      <c r="AI98" s="16"/>
    </row>
    <row r="99" spans="6:35" ht="12.75">
      <c r="F99" s="11"/>
      <c r="G99" s="72">
        <f>a*SIN(6*AI3)*N134</f>
        <v>19.021130325903073</v>
      </c>
      <c r="H99" s="71"/>
      <c r="I99" s="11"/>
      <c r="J99" s="11"/>
      <c r="K99" s="11"/>
      <c r="L99" s="11"/>
      <c r="M99" s="11"/>
      <c r="N99" s="19"/>
      <c r="O99" s="19"/>
      <c r="AI99" s="16"/>
    </row>
    <row r="100" spans="6:35" ht="12.75">
      <c r="F100" s="11"/>
      <c r="G100" s="72">
        <f>a*SIN(7*AI3)*N134</f>
        <v>16.18033988749895</v>
      </c>
      <c r="H100" s="71"/>
      <c r="I100" s="11"/>
      <c r="J100" s="11"/>
      <c r="K100" s="11"/>
      <c r="L100" s="11"/>
      <c r="M100" s="11"/>
      <c r="N100" s="19"/>
      <c r="O100" s="19"/>
      <c r="AI100" s="16"/>
    </row>
    <row r="101" spans="6:35" ht="12.75">
      <c r="F101" s="11"/>
      <c r="G101" s="72">
        <f>a*SIN(8*AI3)*N134</f>
        <v>11.755705045849465</v>
      </c>
      <c r="H101" s="71"/>
      <c r="I101" s="11"/>
      <c r="J101" s="11"/>
      <c r="K101" s="11"/>
      <c r="L101" s="11"/>
      <c r="M101" s="11"/>
      <c r="N101" s="19"/>
      <c r="O101" s="19"/>
      <c r="AI101" s="16"/>
    </row>
    <row r="102" spans="6:35" ht="12.75">
      <c r="F102" s="11"/>
      <c r="G102" s="72">
        <f>a*SIN(9*AI3)*N134</f>
        <v>6.18033988749895</v>
      </c>
      <c r="H102" s="74"/>
      <c r="I102" s="11"/>
      <c r="J102" s="11"/>
      <c r="AI102" s="16"/>
    </row>
    <row r="103" spans="6:35" ht="12.75">
      <c r="F103" s="11"/>
      <c r="G103" s="72">
        <f>a*SIN(10*AI3)*N134</f>
        <v>2.45029690981724E-15</v>
      </c>
      <c r="H103" s="74"/>
      <c r="I103" s="11"/>
      <c r="J103" s="11"/>
      <c r="AI103" s="16"/>
    </row>
    <row r="104" spans="6:35" ht="12.75">
      <c r="F104" s="11"/>
      <c r="G104" s="72">
        <f>a*SIN(11*AI3)*N134</f>
        <v>-6.1803398874989455</v>
      </c>
      <c r="H104" s="71"/>
      <c r="I104" s="11"/>
      <c r="J104" s="11"/>
      <c r="AI104" s="16"/>
    </row>
    <row r="105" spans="6:35" ht="12.75">
      <c r="F105" s="11"/>
      <c r="G105" s="72">
        <f>a*SIN(12*AI3)*N134</f>
        <v>-11.75570504584946</v>
      </c>
      <c r="H105" s="71"/>
      <c r="I105" s="11"/>
      <c r="J105" s="11"/>
      <c r="AI105" s="16"/>
    </row>
    <row r="106" spans="6:35" ht="12.75">
      <c r="F106" s="11"/>
      <c r="G106" s="72">
        <f>a*SIN(13*AI3)*N134</f>
        <v>-16.180339887498945</v>
      </c>
      <c r="H106" s="71"/>
      <c r="I106" s="11"/>
      <c r="J106" s="11"/>
      <c r="AI106" s="16"/>
    </row>
    <row r="107" spans="6:35" ht="12.75">
      <c r="F107" s="11"/>
      <c r="G107" s="72">
        <f>a*SIN(14*AI3)*N134</f>
        <v>-19.02113032590307</v>
      </c>
      <c r="H107" s="73"/>
      <c r="I107" s="75">
        <f>SQRT(3)/2</f>
        <v>0.8660254037844386</v>
      </c>
      <c r="J107" s="11"/>
      <c r="AI107" s="16"/>
    </row>
    <row r="108" spans="6:35" ht="12.75">
      <c r="F108" s="11"/>
      <c r="G108" s="72">
        <f>a*SIN(15*AI3)*N134</f>
        <v>-20</v>
      </c>
      <c r="H108" s="74"/>
      <c r="I108" s="11"/>
      <c r="J108" s="11"/>
      <c r="AI108" s="16"/>
    </row>
    <row r="109" spans="6:35" ht="12.75">
      <c r="F109" s="11"/>
      <c r="G109" s="72">
        <f>a*SIN(16*AI3)*N134</f>
        <v>-19.021130325903073</v>
      </c>
      <c r="H109" s="76"/>
      <c r="I109" s="11"/>
      <c r="J109" s="11"/>
      <c r="AI109" s="16"/>
    </row>
    <row r="110" spans="6:35" ht="15.75">
      <c r="F110" s="11"/>
      <c r="G110" s="72">
        <f>a*SIN(17*AI3)*N134</f>
        <v>-16.180339887498953</v>
      </c>
      <c r="H110" s="74"/>
      <c r="I110" s="77" t="s">
        <v>9</v>
      </c>
      <c r="J110" s="11"/>
      <c r="AI110" s="16"/>
    </row>
    <row r="111" spans="6:35" ht="12.75">
      <c r="F111" s="11"/>
      <c r="G111" s="72">
        <f>a*SIN(18*AI3)*N134</f>
        <v>-11.755705045849467</v>
      </c>
      <c r="H111" s="74"/>
      <c r="I111" s="75">
        <f>1*N134</f>
        <v>10</v>
      </c>
      <c r="J111" s="11"/>
      <c r="AI111" s="16"/>
    </row>
    <row r="112" spans="6:35" ht="12.75">
      <c r="F112" s="11"/>
      <c r="G112" s="72">
        <f>a*SIN(19*AI3)*N134</f>
        <v>-6.180339887498953</v>
      </c>
      <c r="H112" s="74"/>
      <c r="I112" s="75">
        <f>a*COS(1*AI3)*N134</f>
        <v>19.02113032590307</v>
      </c>
      <c r="J112" s="11"/>
      <c r="AI112" s="16"/>
    </row>
    <row r="113" spans="6:35" ht="12.75">
      <c r="F113" s="11"/>
      <c r="G113" s="72">
        <f>a*SIN(20*AI3)*N134</f>
        <v>-4.90059381963448E-15</v>
      </c>
      <c r="H113" s="76"/>
      <c r="I113" s="75">
        <f>a*COS(2*AI3)*N134</f>
        <v>16.18033988749895</v>
      </c>
      <c r="J113" s="11"/>
      <c r="AI113" s="16"/>
    </row>
    <row r="114" spans="6:35" ht="12.75">
      <c r="F114" s="11"/>
      <c r="G114" s="11"/>
      <c r="H114" s="11"/>
      <c r="I114" s="75">
        <f>a*COS(3*AI3)*N134</f>
        <v>11.755705045849464</v>
      </c>
      <c r="J114" s="11"/>
      <c r="AI114" s="16"/>
    </row>
    <row r="115" spans="3:35" ht="12.75">
      <c r="C115" s="11"/>
      <c r="D115" s="11"/>
      <c r="E115" s="11"/>
      <c r="F115" s="11"/>
      <c r="G115" s="11"/>
      <c r="H115" s="11"/>
      <c r="I115" s="75">
        <f>0.5*N134</f>
        <v>5</v>
      </c>
      <c r="J115" s="11"/>
      <c r="AI115" s="16"/>
    </row>
    <row r="116" spans="3:35" ht="12.75">
      <c r="C116" s="11"/>
      <c r="D116" s="11"/>
      <c r="E116" s="11"/>
      <c r="F116" s="11"/>
      <c r="G116" s="11"/>
      <c r="H116" s="11"/>
      <c r="I116" s="75">
        <f>a*COS(4*AI3)*N134</f>
        <v>6.180339887498949</v>
      </c>
      <c r="J116" s="11"/>
      <c r="AI116" s="16"/>
    </row>
    <row r="117" spans="3:35" ht="12.75">
      <c r="C117" s="11"/>
      <c r="D117" s="11"/>
      <c r="E117" s="11"/>
      <c r="F117" s="11"/>
      <c r="G117" s="11"/>
      <c r="H117" s="11"/>
      <c r="I117" s="75">
        <f>a*COS(5*AI3)*N134</f>
        <v>1.22514845490862E-15</v>
      </c>
      <c r="J117" s="11"/>
      <c r="AI117" s="16"/>
    </row>
    <row r="118" spans="3:35" ht="12.75">
      <c r="C118" s="11"/>
      <c r="D118" s="11"/>
      <c r="E118" s="11"/>
      <c r="F118" s="11"/>
      <c r="G118" s="11"/>
      <c r="H118" s="11"/>
      <c r="I118" s="75">
        <f>a*COS(6*AI3)*N134</f>
        <v>-6.180339887498947</v>
      </c>
      <c r="J118" s="11"/>
      <c r="AI118" s="16"/>
    </row>
    <row r="119" spans="3:35" ht="12.75">
      <c r="C119" s="11"/>
      <c r="D119" s="11"/>
      <c r="E119" s="11"/>
      <c r="F119" s="11"/>
      <c r="G119" s="11"/>
      <c r="H119" s="11"/>
      <c r="I119" s="75">
        <f>a*COS(7*AI3)*N134</f>
        <v>-11.75570504584946</v>
      </c>
      <c r="J119" s="11"/>
      <c r="AI119" s="16"/>
    </row>
    <row r="120" spans="3:35" ht="12.75">
      <c r="C120" s="11"/>
      <c r="D120" s="11"/>
      <c r="E120" s="11"/>
      <c r="F120" s="11"/>
      <c r="G120" s="11"/>
      <c r="H120" s="11"/>
      <c r="I120" s="75">
        <f>a*COS(8*AI3)*N134</f>
        <v>-16.180339887498945</v>
      </c>
      <c r="J120" s="11"/>
      <c r="AI120" s="16"/>
    </row>
    <row r="121" spans="3:35" ht="12.75">
      <c r="C121" s="11"/>
      <c r="D121" s="11"/>
      <c r="E121" s="11"/>
      <c r="F121" s="11"/>
      <c r="G121" s="11"/>
      <c r="H121" s="11"/>
      <c r="I121" s="75">
        <f>a*COS(9*AI3)*N134</f>
        <v>-19.02113032590307</v>
      </c>
      <c r="AI121" s="16"/>
    </row>
    <row r="122" spans="3:35" ht="12.75">
      <c r="C122" s="11"/>
      <c r="D122" s="11"/>
      <c r="E122" s="11"/>
      <c r="F122" s="11"/>
      <c r="G122" s="11"/>
      <c r="H122" s="11"/>
      <c r="I122" s="75">
        <f>a*COS(10*AI3)*N134</f>
        <v>-20</v>
      </c>
      <c r="AI122" s="16"/>
    </row>
    <row r="123" spans="3:35" ht="12.75">
      <c r="C123" s="11"/>
      <c r="D123" s="11"/>
      <c r="E123" s="11"/>
      <c r="F123" s="11"/>
      <c r="G123" s="11"/>
      <c r="H123" s="11"/>
      <c r="I123" s="75">
        <f>a*COS(11*AI3)*N134</f>
        <v>-19.021130325903073</v>
      </c>
      <c r="AI123" s="16"/>
    </row>
    <row r="124" spans="9:35" ht="12.75">
      <c r="I124" s="75">
        <f>a*COS(12*AI3)*N134</f>
        <v>-16.180339887498953</v>
      </c>
      <c r="AI124" s="16"/>
    </row>
    <row r="125" spans="9:35" ht="12.75">
      <c r="I125" s="75">
        <f>a*COS(13*AI3)*N134</f>
        <v>-11.755705045849465</v>
      </c>
      <c r="AI125" s="16"/>
    </row>
    <row r="126" spans="9:35" ht="12.75">
      <c r="I126" s="75">
        <f>a*COS(14*AI3)*N134</f>
        <v>-6.180339887498951</v>
      </c>
      <c r="AI126" s="16"/>
    </row>
    <row r="127" spans="9:35" ht="12.75">
      <c r="I127" s="75">
        <f>a*COS(15*AI3)*N134</f>
        <v>-3.67544536472586E-15</v>
      </c>
      <c r="AI127" s="16"/>
    </row>
    <row r="128" spans="9:35" ht="12.75">
      <c r="I128" s="75">
        <f>a*COS(16*AI3)*N134</f>
        <v>6.180339887498945</v>
      </c>
      <c r="AI128" s="16"/>
    </row>
    <row r="129" spans="9:35" ht="12.75">
      <c r="I129" s="75">
        <f>a*COS(17*AI3)*N134</f>
        <v>11.755705045849458</v>
      </c>
      <c r="AI129" s="16"/>
    </row>
    <row r="130" spans="9:35" ht="12.75">
      <c r="I130" s="75">
        <f>a*COS(18*AI3)*N134</f>
        <v>16.180339887498945</v>
      </c>
      <c r="J130" s="5"/>
      <c r="K130" s="5"/>
      <c r="L130" s="5"/>
      <c r="M130" s="5"/>
      <c r="N130" s="5"/>
      <c r="O130" s="10"/>
      <c r="P130" s="10"/>
      <c r="AI130" s="16"/>
    </row>
    <row r="131" spans="9:35" ht="12.75">
      <c r="I131" s="75">
        <f>a*COS(19*AI3)*N134</f>
        <v>19.02113032590307</v>
      </c>
      <c r="J131" s="5"/>
      <c r="K131" s="5"/>
      <c r="L131" s="5"/>
      <c r="M131" s="5"/>
      <c r="N131" s="5"/>
      <c r="O131" s="10"/>
      <c r="P131" s="10"/>
      <c r="AI131" s="16"/>
    </row>
    <row r="132" spans="9:35" ht="12.75">
      <c r="I132" s="75">
        <f>a*COS(20*AI3)*N134</f>
        <v>20</v>
      </c>
      <c r="J132" s="5"/>
      <c r="K132" s="5"/>
      <c r="L132" s="9"/>
      <c r="M132" s="9"/>
      <c r="N132" s="9"/>
      <c r="O132" s="12"/>
      <c r="P132" s="12"/>
      <c r="AI132" s="16"/>
    </row>
    <row r="133" spans="9:35" ht="12.75">
      <c r="I133" s="11"/>
      <c r="J133" s="5"/>
      <c r="K133" s="5"/>
      <c r="L133" s="9"/>
      <c r="M133" s="9"/>
      <c r="N133" s="9"/>
      <c r="O133" s="12"/>
      <c r="P133" s="12"/>
      <c r="AI133" s="16"/>
    </row>
    <row r="134" spans="9:35" ht="15">
      <c r="I134" s="11"/>
      <c r="J134" s="5"/>
      <c r="K134" s="5"/>
      <c r="L134" s="78" t="s">
        <v>27</v>
      </c>
      <c r="M134" s="79"/>
      <c r="N134" s="80">
        <v>10</v>
      </c>
      <c r="O134" s="12"/>
      <c r="P134" s="12"/>
      <c r="AI134" s="16"/>
    </row>
    <row r="135" spans="9:35" ht="15">
      <c r="I135" s="11"/>
      <c r="J135" s="5"/>
      <c r="K135" s="5"/>
      <c r="L135" s="78" t="s">
        <v>28</v>
      </c>
      <c r="M135" s="79"/>
      <c r="N135" s="81">
        <v>10</v>
      </c>
      <c r="O135" s="12"/>
      <c r="P135" s="12"/>
      <c r="AI135" s="16"/>
    </row>
    <row r="136" spans="9:35" ht="12.75">
      <c r="I136" s="11"/>
      <c r="J136" s="5"/>
      <c r="K136" s="5"/>
      <c r="L136" s="9"/>
      <c r="M136" s="9"/>
      <c r="N136" s="9"/>
      <c r="O136" s="12"/>
      <c r="P136" s="12"/>
      <c r="AI136" s="16"/>
    </row>
    <row r="137" spans="9:35" ht="12.75">
      <c r="I137" s="11"/>
      <c r="J137" s="5"/>
      <c r="K137" s="5"/>
      <c r="L137" s="9"/>
      <c r="M137" s="9"/>
      <c r="N137" s="9"/>
      <c r="O137" s="12"/>
      <c r="P137" s="12"/>
      <c r="AI137" s="16"/>
    </row>
    <row r="138" spans="9:35" ht="12.75">
      <c r="I138" s="11"/>
      <c r="J138" s="28"/>
      <c r="K138" s="46"/>
      <c r="L138" s="9"/>
      <c r="M138" s="9"/>
      <c r="N138" s="9"/>
      <c r="O138" s="12"/>
      <c r="P138" s="12"/>
      <c r="AI138" s="16"/>
    </row>
    <row r="139" spans="9:35" ht="12.75">
      <c r="I139" s="11"/>
      <c r="AI139" s="16"/>
    </row>
    <row r="140" spans="9:35" ht="12.75">
      <c r="I140" s="11"/>
      <c r="AI140" s="16"/>
    </row>
    <row r="141" spans="9:35" ht="12.75">
      <c r="I141" s="11"/>
      <c r="AI141" s="16"/>
    </row>
    <row r="142" spans="9:35" ht="12.75">
      <c r="I142" s="11"/>
      <c r="AI142" s="16"/>
    </row>
    <row r="143" ht="12.75">
      <c r="AI143" s="16"/>
    </row>
    <row r="144" ht="12.75">
      <c r="AI144" s="16"/>
    </row>
    <row r="145" ht="12.75">
      <c r="AI145" s="16"/>
    </row>
    <row r="146" ht="12.75">
      <c r="AI146" s="16"/>
    </row>
    <row r="147" spans="6:35" ht="12.75">
      <c r="F147" s="48"/>
      <c r="G147" s="48"/>
      <c r="H147" s="9"/>
      <c r="I147" s="9"/>
      <c r="J147" s="9"/>
      <c r="K147" s="12"/>
      <c r="AI147" s="16"/>
    </row>
    <row r="148" spans="6:35" ht="12.75">
      <c r="F148" s="49"/>
      <c r="G148" s="49"/>
      <c r="H148" s="9"/>
      <c r="I148" s="9"/>
      <c r="J148" s="9"/>
      <c r="K148" s="12"/>
      <c r="AI148" s="16"/>
    </row>
    <row r="149" spans="6:35" ht="12.75">
      <c r="F149" s="49"/>
      <c r="G149" s="49"/>
      <c r="H149" s="9"/>
      <c r="I149" s="9"/>
      <c r="J149" s="9"/>
      <c r="K149" s="12"/>
      <c r="AI149" s="16"/>
    </row>
    <row r="150" spans="6:35" ht="12.75">
      <c r="F150" s="12"/>
      <c r="G150" s="12"/>
      <c r="H150" s="9"/>
      <c r="I150" s="9"/>
      <c r="J150" s="9"/>
      <c r="K150" s="12"/>
      <c r="AI150" s="16"/>
    </row>
    <row r="151" spans="6:35" ht="12.75">
      <c r="F151" s="12"/>
      <c r="G151" s="12"/>
      <c r="H151" s="9"/>
      <c r="I151" s="46">
        <f>a*COS((20*pas)/(2*n))*N135</f>
        <v>-20</v>
      </c>
      <c r="J151" s="28">
        <f>a*SIN((20*pas)/(2*n))*N135</f>
        <v>2.45029690981724E-15</v>
      </c>
      <c r="K151" s="12"/>
      <c r="AI151" s="16"/>
    </row>
    <row r="152" spans="6:35" ht="12.75">
      <c r="F152" s="5"/>
      <c r="G152" s="5"/>
      <c r="H152" s="9"/>
      <c r="I152" s="46">
        <f>1*N134</f>
        <v>10</v>
      </c>
      <c r="J152" s="28">
        <f>0*N134</f>
        <v>0</v>
      </c>
      <c r="K152" s="12"/>
      <c r="AI152" s="16"/>
    </row>
    <row r="153" spans="6:35" ht="12.75">
      <c r="F153" s="5"/>
      <c r="G153" s="5"/>
      <c r="H153" s="9"/>
      <c r="I153" s="9"/>
      <c r="J153" s="9"/>
      <c r="K153" s="12"/>
      <c r="AI153" s="16"/>
    </row>
    <row r="154" spans="6:35" ht="12.75">
      <c r="F154" s="12"/>
      <c r="G154" s="12"/>
      <c r="H154" s="9"/>
      <c r="I154" s="9"/>
      <c r="J154" s="9"/>
      <c r="K154" s="12"/>
      <c r="AI154" s="16"/>
    </row>
    <row r="155" spans="6:35" ht="12.75">
      <c r="F155" s="12"/>
      <c r="G155" s="12"/>
      <c r="H155" s="9"/>
      <c r="I155" s="9"/>
      <c r="J155" s="9"/>
      <c r="K155" s="12"/>
      <c r="AI155" s="16"/>
    </row>
    <row r="156" spans="6:35" ht="12.75">
      <c r="F156" s="12">
        <v>0</v>
      </c>
      <c r="G156" s="82">
        <f>J151</f>
        <v>2.45029690981724E-15</v>
      </c>
      <c r="H156" s="9"/>
      <c r="I156" s="83" t="s">
        <v>6</v>
      </c>
      <c r="J156" s="63">
        <v>2</v>
      </c>
      <c r="K156" s="10"/>
      <c r="AI156" s="16"/>
    </row>
    <row r="157" spans="6:35" ht="12.75">
      <c r="F157" s="5"/>
      <c r="G157" s="9"/>
      <c r="H157" s="9"/>
      <c r="I157" s="12"/>
      <c r="J157" s="10"/>
      <c r="K157" s="10"/>
      <c r="AI157" s="16"/>
    </row>
    <row r="158" spans="6:35" ht="12.75">
      <c r="F158" s="5"/>
      <c r="G158" s="9"/>
      <c r="H158" s="9"/>
      <c r="I158" s="84"/>
      <c r="J158" s="84"/>
      <c r="K158" s="84"/>
      <c r="AI158" s="16"/>
    </row>
    <row r="159" spans="6:35" ht="12.75">
      <c r="F159" s="5"/>
      <c r="G159" s="9"/>
      <c r="H159" s="9"/>
      <c r="I159" s="51"/>
      <c r="J159" s="83"/>
      <c r="K159" s="50"/>
      <c r="AI159" s="16"/>
    </row>
    <row r="160" ht="12.75">
      <c r="AI160" s="16"/>
    </row>
    <row r="161" ht="12.75">
      <c r="AI161" s="16"/>
    </row>
    <row r="162" ht="12.75">
      <c r="AI162" s="16"/>
    </row>
    <row r="163" ht="12.75">
      <c r="AI163" s="16"/>
    </row>
    <row r="164" ht="12.75">
      <c r="AI164" s="16"/>
    </row>
    <row r="165" ht="12.75">
      <c r="AI165" s="16"/>
    </row>
    <row r="166" ht="12.75">
      <c r="AI166" s="16"/>
    </row>
    <row r="167" ht="12.75">
      <c r="AI167" s="16"/>
    </row>
    <row r="168" ht="12.75">
      <c r="AI168" s="16"/>
    </row>
    <row r="169" ht="12.75">
      <c r="AI169" s="16"/>
    </row>
    <row r="170" ht="12.75">
      <c r="AI170" s="16"/>
    </row>
    <row r="171" ht="12.75">
      <c r="AI171" s="16"/>
    </row>
    <row r="172" ht="12.75">
      <c r="AI172" s="16"/>
    </row>
    <row r="173" ht="12.75">
      <c r="AI173" s="16"/>
    </row>
    <row r="174" ht="12.75">
      <c r="AI174" s="16"/>
    </row>
    <row r="175" ht="12.75">
      <c r="AI175" s="16"/>
    </row>
    <row r="176" ht="12.75">
      <c r="AI176" s="16"/>
    </row>
    <row r="177" ht="12.75">
      <c r="AI177" s="16"/>
    </row>
    <row r="178" ht="12.75">
      <c r="AI178" s="16"/>
    </row>
    <row r="179" ht="12.75">
      <c r="AI179" s="16"/>
    </row>
    <row r="180" ht="12.75">
      <c r="AI180" s="16"/>
    </row>
    <row r="181" ht="12.75">
      <c r="AI181" s="16"/>
    </row>
    <row r="182" ht="12.75">
      <c r="AI182" s="16"/>
    </row>
    <row r="183" ht="12.75">
      <c r="AI183" s="16"/>
    </row>
    <row r="184" ht="12.75">
      <c r="AI184" s="16"/>
    </row>
    <row r="185" ht="12.75">
      <c r="AI185" s="16"/>
    </row>
    <row r="186" ht="12.75">
      <c r="AI186" s="16"/>
    </row>
    <row r="187" ht="12.75">
      <c r="AI187" s="16"/>
    </row>
    <row r="188" ht="12.75">
      <c r="AI188" s="16"/>
    </row>
    <row r="189" ht="12.75">
      <c r="AI189" s="16"/>
    </row>
    <row r="190" ht="12.75">
      <c r="AI190" s="16"/>
    </row>
    <row r="191" ht="12.75">
      <c r="AI191" s="16"/>
    </row>
    <row r="192" ht="12.75">
      <c r="AI192" s="16"/>
    </row>
    <row r="193" ht="12.75">
      <c r="AI193" s="16"/>
    </row>
    <row r="194" ht="12.75">
      <c r="AI194" s="16"/>
    </row>
    <row r="195" ht="12.75">
      <c r="AI195" s="16"/>
    </row>
    <row r="196" ht="12.75">
      <c r="AI196" s="16"/>
    </row>
    <row r="197" ht="12.75">
      <c r="AI197" s="16"/>
    </row>
    <row r="198" ht="12.75">
      <c r="AI198" s="16"/>
    </row>
    <row r="199" ht="12.75">
      <c r="AI199" s="16"/>
    </row>
    <row r="200" ht="12.75">
      <c r="AI200" s="16"/>
    </row>
    <row r="201" ht="12.75">
      <c r="AI201" s="16"/>
    </row>
    <row r="202" ht="12.75">
      <c r="AI202" s="16"/>
    </row>
    <row r="203" ht="12.75">
      <c r="AI203" s="16"/>
    </row>
    <row r="204" ht="12.75">
      <c r="AI204" s="16"/>
    </row>
    <row r="205" ht="12.75">
      <c r="AI205" s="16"/>
    </row>
    <row r="206" ht="12.75">
      <c r="AI206" s="16"/>
    </row>
    <row r="207" ht="12.75">
      <c r="AI207" s="16"/>
    </row>
    <row r="208" ht="12.75">
      <c r="AI208" s="16"/>
    </row>
    <row r="209" ht="12.75">
      <c r="AI209" s="16"/>
    </row>
    <row r="210" ht="12.75">
      <c r="AI210" s="16"/>
    </row>
    <row r="211" ht="12.75">
      <c r="AI211" s="16"/>
    </row>
    <row r="212" ht="12.75">
      <c r="AI212" s="16"/>
    </row>
    <row r="213" ht="12.75">
      <c r="AI213" s="16"/>
    </row>
    <row r="214" ht="12.75">
      <c r="AI214" s="16"/>
    </row>
    <row r="215" ht="12.75">
      <c r="AI215" s="16"/>
    </row>
    <row r="216" ht="12.75">
      <c r="AI216" s="16"/>
    </row>
    <row r="217" ht="12.75">
      <c r="AI217" s="16"/>
    </row>
    <row r="218" ht="12.75">
      <c r="AI218" s="16"/>
    </row>
    <row r="219" ht="12.75">
      <c r="AI219" s="16"/>
    </row>
    <row r="220" ht="12.75">
      <c r="AI220" s="16"/>
    </row>
    <row r="221" ht="12.75">
      <c r="AI221" s="16"/>
    </row>
    <row r="222" ht="12.75">
      <c r="AI222" s="16"/>
    </row>
    <row r="223" ht="12.75">
      <c r="AI223" s="16"/>
    </row>
    <row r="224" ht="12.75">
      <c r="AI224" s="16"/>
    </row>
    <row r="225" ht="12.75">
      <c r="AI225" s="16"/>
    </row>
    <row r="226" ht="12.75">
      <c r="AI226" s="16"/>
    </row>
    <row r="227" ht="12.75">
      <c r="AI227" s="16"/>
    </row>
    <row r="228" ht="12.75">
      <c r="AI228" s="16"/>
    </row>
    <row r="229" ht="12.75">
      <c r="AI229" s="16"/>
    </row>
    <row r="230" ht="12.75">
      <c r="AI230" s="16"/>
    </row>
    <row r="231" ht="12.75">
      <c r="AI231" s="16"/>
    </row>
    <row r="232" ht="12.75">
      <c r="AI232" s="16"/>
    </row>
    <row r="233" ht="12.75">
      <c r="AI233" s="16"/>
    </row>
    <row r="234" ht="12.75">
      <c r="AI234" s="16"/>
    </row>
    <row r="235" ht="12.75">
      <c r="AI235" s="16"/>
    </row>
    <row r="236" ht="12.75">
      <c r="AI236" s="16"/>
    </row>
    <row r="237" ht="12.75">
      <c r="AI237" s="16"/>
    </row>
    <row r="238" ht="12.75">
      <c r="AI238" s="16"/>
    </row>
    <row r="239" ht="12.75">
      <c r="AI239" s="16"/>
    </row>
    <row r="240" ht="12.75">
      <c r="AI240" s="16"/>
    </row>
    <row r="241" ht="12.75">
      <c r="AI241" s="16"/>
    </row>
    <row r="242" ht="12.75">
      <c r="AI242" s="16"/>
    </row>
    <row r="243" ht="12.75">
      <c r="AI243" s="16"/>
    </row>
    <row r="244" ht="12.75">
      <c r="AI244" s="16"/>
    </row>
    <row r="245" ht="12.75">
      <c r="AI245" s="16"/>
    </row>
    <row r="246" ht="12.75">
      <c r="AI246" s="16"/>
    </row>
    <row r="247" ht="12.75">
      <c r="AI247" s="16"/>
    </row>
    <row r="248" ht="12.75">
      <c r="AI248" s="16"/>
    </row>
    <row r="249" ht="12.75">
      <c r="AI249" s="16"/>
    </row>
    <row r="250" ht="12.75">
      <c r="AI250" s="16"/>
    </row>
    <row r="251" ht="12.75">
      <c r="AI251" s="16"/>
    </row>
    <row r="252" ht="12.75">
      <c r="AI252" s="16"/>
    </row>
    <row r="253" ht="12.75">
      <c r="AI253" s="16"/>
    </row>
    <row r="254" ht="12.75">
      <c r="AI254" s="16"/>
    </row>
    <row r="255" ht="12.75">
      <c r="AI255" s="16"/>
    </row>
    <row r="256" ht="12.75">
      <c r="AI256" s="16"/>
    </row>
    <row r="257" ht="12.75">
      <c r="AI257" s="16"/>
    </row>
    <row r="258" ht="12.75">
      <c r="AI258" s="16"/>
    </row>
    <row r="259" ht="12.75">
      <c r="AI259" s="16"/>
    </row>
    <row r="260" ht="12.75">
      <c r="AI260" s="16"/>
    </row>
    <row r="261" ht="12.75">
      <c r="AI261" s="16"/>
    </row>
    <row r="262" ht="12.75">
      <c r="AI262" s="16"/>
    </row>
    <row r="263" ht="12.75">
      <c r="AI263" s="16"/>
    </row>
    <row r="264" ht="12.75">
      <c r="AI264" s="16"/>
    </row>
    <row r="265" ht="12.75">
      <c r="AI265" s="16"/>
    </row>
    <row r="266" ht="12.75">
      <c r="AI266" s="16"/>
    </row>
    <row r="267" ht="12.75">
      <c r="AI267" s="16"/>
    </row>
    <row r="268" ht="12.75">
      <c r="AI268" s="16"/>
    </row>
    <row r="269" ht="12.75">
      <c r="AI269" s="16"/>
    </row>
    <row r="270" ht="12.75">
      <c r="AI270" s="16"/>
    </row>
    <row r="271" ht="12.75">
      <c r="AI271" s="16"/>
    </row>
    <row r="272" ht="12.75">
      <c r="AI272" s="16"/>
    </row>
    <row r="273" ht="12.75">
      <c r="AI273" s="16"/>
    </row>
    <row r="274" ht="12.75">
      <c r="AI274" s="16"/>
    </row>
    <row r="275" ht="12.75">
      <c r="AI275" s="16"/>
    </row>
    <row r="276" ht="12.75">
      <c r="AI276" s="16"/>
    </row>
    <row r="277" ht="12.75">
      <c r="AI277" s="16"/>
    </row>
    <row r="278" ht="12.75">
      <c r="AI278" s="16"/>
    </row>
    <row r="279" ht="12.75">
      <c r="AI279" s="16"/>
    </row>
    <row r="280" ht="12.75">
      <c r="AI280" s="16"/>
    </row>
    <row r="281" ht="12.75">
      <c r="AI281" s="16"/>
    </row>
    <row r="282" ht="12.75">
      <c r="AI282" s="16"/>
    </row>
    <row r="283" ht="12.75">
      <c r="AI283" s="16"/>
    </row>
    <row r="284" ht="12.75">
      <c r="AI284" s="16"/>
    </row>
    <row r="285" ht="12.75">
      <c r="AI285" s="16"/>
    </row>
    <row r="286" ht="12.75">
      <c r="AI286" s="16"/>
    </row>
    <row r="287" ht="12.75">
      <c r="AI287" s="16"/>
    </row>
    <row r="288" ht="12.75">
      <c r="AI288" s="16"/>
    </row>
    <row r="289" ht="12.75">
      <c r="AI289" s="16"/>
    </row>
    <row r="290" ht="12.75">
      <c r="AI290" s="16"/>
    </row>
    <row r="291" ht="12.75">
      <c r="AI291" s="16"/>
    </row>
    <row r="292" ht="12.75">
      <c r="AI292" s="16"/>
    </row>
    <row r="293" ht="12.75">
      <c r="AI293" s="16"/>
    </row>
    <row r="294" ht="12.75">
      <c r="AI294" s="16"/>
    </row>
    <row r="295" ht="12.75">
      <c r="AI295" s="16"/>
    </row>
    <row r="296" ht="12.75">
      <c r="AI296" s="16"/>
    </row>
    <row r="297" ht="12.75">
      <c r="AI297" s="16"/>
    </row>
    <row r="298" ht="12.75">
      <c r="AI298" s="16"/>
    </row>
    <row r="299" ht="12.75">
      <c r="AI299" s="16"/>
    </row>
    <row r="300" ht="12.75">
      <c r="AI300" s="16"/>
    </row>
    <row r="301" ht="12.75">
      <c r="AI301" s="16"/>
    </row>
    <row r="302" ht="12.75">
      <c r="AI302" s="16"/>
    </row>
    <row r="303" ht="12.75">
      <c r="AI303" s="16"/>
    </row>
    <row r="304" ht="12.75">
      <c r="AI304" s="16"/>
    </row>
    <row r="305" ht="12.75">
      <c r="AI305" s="16"/>
    </row>
    <row r="306" ht="12.75">
      <c r="AI306" s="16"/>
    </row>
    <row r="307" ht="12.75">
      <c r="AI307" s="16"/>
    </row>
    <row r="308" ht="12.75">
      <c r="AI308" s="16"/>
    </row>
    <row r="309" ht="12.75">
      <c r="AI309" s="16"/>
    </row>
    <row r="310" ht="12.75">
      <c r="AI310" s="16"/>
    </row>
    <row r="311" ht="12.75">
      <c r="AI311" s="16"/>
    </row>
    <row r="312" ht="12.75">
      <c r="AI312" s="16"/>
    </row>
    <row r="313" ht="12.75">
      <c r="AI313" s="16"/>
    </row>
    <row r="314" ht="12.75">
      <c r="AI314" s="16"/>
    </row>
    <row r="315" ht="12.75">
      <c r="AI315" s="16"/>
    </row>
    <row r="316" ht="12.75">
      <c r="AI316" s="16"/>
    </row>
    <row r="317" ht="12.75">
      <c r="AI317" s="16"/>
    </row>
    <row r="318" ht="12.75">
      <c r="AI318" s="16"/>
    </row>
    <row r="319" ht="12.75">
      <c r="AI319" s="16"/>
    </row>
    <row r="320" ht="12.75">
      <c r="AI320" s="16"/>
    </row>
    <row r="321" ht="12.75">
      <c r="AI321" s="16"/>
    </row>
    <row r="322" ht="12.75">
      <c r="AI322" s="16"/>
    </row>
    <row r="323" ht="12.75">
      <c r="AI323" s="16"/>
    </row>
    <row r="324" ht="12.75">
      <c r="AI324" s="16"/>
    </row>
    <row r="325" ht="12.75">
      <c r="AI325" s="16"/>
    </row>
    <row r="326" ht="12.75">
      <c r="AI326" s="16"/>
    </row>
    <row r="327" ht="12.75">
      <c r="AI327" s="16"/>
    </row>
    <row r="328" ht="12.75">
      <c r="AI328" s="16"/>
    </row>
    <row r="329" ht="12.75">
      <c r="AI329" s="16"/>
    </row>
    <row r="330" ht="12.75">
      <c r="AI330" s="16"/>
    </row>
    <row r="331" ht="12.75">
      <c r="AI331" s="16"/>
    </row>
    <row r="332" ht="12.75">
      <c r="AI332" s="16"/>
    </row>
    <row r="333" ht="12.75">
      <c r="AI333" s="16"/>
    </row>
    <row r="334" ht="12.75">
      <c r="AI334" s="16"/>
    </row>
    <row r="335" ht="12.75">
      <c r="AI335" s="16"/>
    </row>
    <row r="336" ht="12.75">
      <c r="AI336" s="16"/>
    </row>
    <row r="337" ht="12.75">
      <c r="AI337" s="16"/>
    </row>
    <row r="338" ht="12.75">
      <c r="AI338" s="16"/>
    </row>
    <row r="339" ht="12.75">
      <c r="AI339" s="16"/>
    </row>
    <row r="340" ht="12.75">
      <c r="AI340" s="16"/>
    </row>
    <row r="341" ht="12.75">
      <c r="AI341" s="16"/>
    </row>
    <row r="342" ht="12.75">
      <c r="AI342" s="16"/>
    </row>
    <row r="343" ht="12.75">
      <c r="AI343" s="16"/>
    </row>
    <row r="344" ht="12.75">
      <c r="AI344" s="16"/>
    </row>
    <row r="345" ht="12.75">
      <c r="AI345" s="16"/>
    </row>
    <row r="346" ht="12.75">
      <c r="AI346" s="16"/>
    </row>
    <row r="347" ht="12.75">
      <c r="AI347" s="16"/>
    </row>
    <row r="348" ht="12.75">
      <c r="AI348" s="16"/>
    </row>
    <row r="349" ht="12.75">
      <c r="AI349" s="16"/>
    </row>
    <row r="350" ht="12.75">
      <c r="AI350" s="16"/>
    </row>
    <row r="351" ht="12.75">
      <c r="AI351" s="16"/>
    </row>
    <row r="352" ht="12.75">
      <c r="AI352" s="16"/>
    </row>
    <row r="353" ht="12.75">
      <c r="AI353" s="16"/>
    </row>
    <row r="354" ht="12.75">
      <c r="AI354" s="16"/>
    </row>
    <row r="355" ht="12.75">
      <c r="AI355" s="16"/>
    </row>
    <row r="356" ht="12.75">
      <c r="AI356" s="16"/>
    </row>
    <row r="357" ht="12.75">
      <c r="AI357" s="16"/>
    </row>
    <row r="358" ht="12.75">
      <c r="AI358" s="16"/>
    </row>
    <row r="359" ht="12.75">
      <c r="AI359" s="16"/>
    </row>
    <row r="360" ht="12.75">
      <c r="AI360" s="16"/>
    </row>
    <row r="361" ht="12.75">
      <c r="AI361" s="16"/>
    </row>
    <row r="362" ht="12.75">
      <c r="AI362" s="16"/>
    </row>
    <row r="363" ht="12.75">
      <c r="AI363" s="16"/>
    </row>
    <row r="364" ht="12.75">
      <c r="AI364" s="16"/>
    </row>
    <row r="365" ht="12.75">
      <c r="AI365" s="16"/>
    </row>
    <row r="366" ht="12.75">
      <c r="AI366" s="16"/>
    </row>
    <row r="367" ht="12.75">
      <c r="AI367" s="16"/>
    </row>
    <row r="368" ht="12.75">
      <c r="AI368" s="16"/>
    </row>
    <row r="369" ht="12.75">
      <c r="AI369" s="16"/>
    </row>
    <row r="370" ht="12.75">
      <c r="AI370" s="16"/>
    </row>
    <row r="371" ht="12.75">
      <c r="AI371" s="16"/>
    </row>
    <row r="372" ht="12.75">
      <c r="AI372" s="16"/>
    </row>
    <row r="373" ht="12.75">
      <c r="AI373" s="16"/>
    </row>
    <row r="374" ht="12.75">
      <c r="AI374" s="16"/>
    </row>
    <row r="375" ht="12.75">
      <c r="AI375" s="16"/>
    </row>
    <row r="376" ht="12.75">
      <c r="AI376" s="16"/>
    </row>
    <row r="377" ht="12.75">
      <c r="AI377" s="16"/>
    </row>
    <row r="378" ht="12.75">
      <c r="AI378" s="16"/>
    </row>
    <row r="379" ht="12.75">
      <c r="AI379" s="16"/>
    </row>
    <row r="380" ht="12.75">
      <c r="AI380" s="16"/>
    </row>
    <row r="381" ht="12.75">
      <c r="AI381" s="16"/>
    </row>
    <row r="382" ht="12.75">
      <c r="AI382" s="16"/>
    </row>
    <row r="383" ht="12.75">
      <c r="AI383" s="16"/>
    </row>
    <row r="384" ht="12.75">
      <c r="AI384" s="16"/>
    </row>
    <row r="385" ht="12.75">
      <c r="AI385" s="16"/>
    </row>
    <row r="386" ht="12.75">
      <c r="AI386" s="16"/>
    </row>
    <row r="387" ht="12.75">
      <c r="AI387" s="16"/>
    </row>
    <row r="388" ht="12.75">
      <c r="AI388" s="16"/>
    </row>
    <row r="389" ht="12.75">
      <c r="AI389" s="16"/>
    </row>
    <row r="390" ht="12.75">
      <c r="AI390" s="16"/>
    </row>
    <row r="391" ht="12.75">
      <c r="AI391" s="16"/>
    </row>
    <row r="392" ht="12.75">
      <c r="AI392" s="16"/>
    </row>
    <row r="393" ht="12.75">
      <c r="AI393" s="16"/>
    </row>
    <row r="394" ht="12.75">
      <c r="AI394" s="16"/>
    </row>
    <row r="395" ht="12.75">
      <c r="AI395" s="16"/>
    </row>
    <row r="396" ht="12.75">
      <c r="AI396" s="16"/>
    </row>
    <row r="397" ht="12.75">
      <c r="AI397" s="16"/>
    </row>
    <row r="398" ht="12.75">
      <c r="AI398" s="16"/>
    </row>
    <row r="399" ht="12.75">
      <c r="AI399" s="16"/>
    </row>
    <row r="400" ht="12.75">
      <c r="AI400" s="16"/>
    </row>
    <row r="401" ht="12.75">
      <c r="AI401" s="16"/>
    </row>
    <row r="402" ht="12.75">
      <c r="AI402" s="16"/>
    </row>
    <row r="403" ht="12.75">
      <c r="AI403" s="16"/>
    </row>
    <row r="404" ht="12.75">
      <c r="AI404" s="16"/>
    </row>
    <row r="405" ht="12.75">
      <c r="AI405" s="16"/>
    </row>
    <row r="406" ht="12.75">
      <c r="AI406" s="16"/>
    </row>
    <row r="407" ht="12.75">
      <c r="AI407" s="16"/>
    </row>
    <row r="408" ht="12.75">
      <c r="AI408" s="16"/>
    </row>
    <row r="409" ht="12.75">
      <c r="AI409" s="16"/>
    </row>
    <row r="410" ht="12.75">
      <c r="AI410" s="16"/>
    </row>
    <row r="411" ht="12.75">
      <c r="AI411" s="16"/>
    </row>
    <row r="412" ht="12.75">
      <c r="AI412" s="16"/>
    </row>
    <row r="413" ht="12.75">
      <c r="AI413" s="16"/>
    </row>
    <row r="414" ht="12.75">
      <c r="AI414" s="16"/>
    </row>
    <row r="415" ht="12.75">
      <c r="AI415" s="16"/>
    </row>
    <row r="416" ht="12.75">
      <c r="AI416" s="16"/>
    </row>
    <row r="417" ht="12.75">
      <c r="AI417" s="16"/>
    </row>
    <row r="418" ht="12.75">
      <c r="AI418" s="16"/>
    </row>
    <row r="419" ht="12.75">
      <c r="AI419" s="16"/>
    </row>
    <row r="420" ht="12.75">
      <c r="AI420" s="16"/>
    </row>
    <row r="421" ht="12.75">
      <c r="AI421" s="16"/>
    </row>
    <row r="422" ht="12.75">
      <c r="AI422" s="16"/>
    </row>
    <row r="423" ht="12.75">
      <c r="AI423" s="16"/>
    </row>
    <row r="424" ht="12.75">
      <c r="AI424" s="16"/>
    </row>
    <row r="425" ht="12.75">
      <c r="AI425" s="16"/>
    </row>
    <row r="426" ht="12.75">
      <c r="AI426" s="16"/>
    </row>
    <row r="427" ht="12.75">
      <c r="AI427" s="16"/>
    </row>
    <row r="428" ht="12.75">
      <c r="AI428" s="16"/>
    </row>
    <row r="429" ht="12.75">
      <c r="AI429" s="16"/>
    </row>
    <row r="430" ht="12.75">
      <c r="AI430" s="16"/>
    </row>
    <row r="431" ht="12.75">
      <c r="AI431" s="16"/>
    </row>
    <row r="432" ht="12.75">
      <c r="AI432" s="16"/>
    </row>
    <row r="433" ht="12.75">
      <c r="AI433" s="16"/>
    </row>
    <row r="434" ht="12.75">
      <c r="AI434" s="16"/>
    </row>
    <row r="435" ht="12.75">
      <c r="AI435" s="16"/>
    </row>
    <row r="436" ht="12.75">
      <c r="AI436" s="16"/>
    </row>
    <row r="437" ht="12.75">
      <c r="AI437" s="16"/>
    </row>
    <row r="438" ht="12.75">
      <c r="AI438" s="16"/>
    </row>
    <row r="439" ht="12.75">
      <c r="AI439" s="16"/>
    </row>
    <row r="440" ht="12.75">
      <c r="AI440" s="16"/>
    </row>
    <row r="441" ht="12.75">
      <c r="AI441" s="16"/>
    </row>
    <row r="442" ht="12.75">
      <c r="AI442" s="16"/>
    </row>
    <row r="443" ht="12.75">
      <c r="AI443" s="16"/>
    </row>
    <row r="444" ht="12.75">
      <c r="AI444" s="16"/>
    </row>
    <row r="445" ht="12.75">
      <c r="AI445" s="16"/>
    </row>
    <row r="446" ht="12.75">
      <c r="AI446" s="16"/>
    </row>
    <row r="447" ht="12.75">
      <c r="AI447" s="16"/>
    </row>
    <row r="448" ht="12.75">
      <c r="AI448" s="16"/>
    </row>
    <row r="449" ht="12.75">
      <c r="AI449" s="16"/>
    </row>
    <row r="450" ht="12.75">
      <c r="AI450" s="16"/>
    </row>
    <row r="451" ht="12.75">
      <c r="AI451" s="16"/>
    </row>
    <row r="452" ht="12.75">
      <c r="AI452" s="16"/>
    </row>
    <row r="453" ht="12.75">
      <c r="AI453" s="16"/>
    </row>
    <row r="454" ht="12.75">
      <c r="AI454" s="16"/>
    </row>
    <row r="455" ht="12.75">
      <c r="AI455" s="16"/>
    </row>
    <row r="456" ht="12.75">
      <c r="AI456" s="16"/>
    </row>
    <row r="457" ht="12.75">
      <c r="AI457" s="16"/>
    </row>
    <row r="458" ht="12.75">
      <c r="AI458" s="16"/>
    </row>
    <row r="459" ht="12.75">
      <c r="AI459" s="16"/>
    </row>
    <row r="460" ht="12.75">
      <c r="AI460" s="16"/>
    </row>
    <row r="461" ht="12.75">
      <c r="AI461" s="16"/>
    </row>
    <row r="462" ht="12.75">
      <c r="AI462" s="16"/>
    </row>
    <row r="463" ht="12.75">
      <c r="AI463" s="16"/>
    </row>
    <row r="464" ht="12.75">
      <c r="AI464" s="16"/>
    </row>
    <row r="465" ht="12.75">
      <c r="AI465" s="16"/>
    </row>
    <row r="466" ht="12.75">
      <c r="AI466" s="16"/>
    </row>
    <row r="467" ht="12.75">
      <c r="AI467" s="16"/>
    </row>
    <row r="468" ht="12.75">
      <c r="AI468" s="16"/>
    </row>
    <row r="469" ht="12.75">
      <c r="AI469" s="16"/>
    </row>
    <row r="470" ht="12.75">
      <c r="AI470" s="16"/>
    </row>
    <row r="471" ht="12.75">
      <c r="AI471" s="16"/>
    </row>
    <row r="472" ht="12.75">
      <c r="AI472" s="16"/>
    </row>
    <row r="473" ht="12.75">
      <c r="AI473" s="16"/>
    </row>
    <row r="474" ht="12.75">
      <c r="AI474" s="16"/>
    </row>
    <row r="475" ht="12.75">
      <c r="AI475" s="16"/>
    </row>
    <row r="476" ht="12.75">
      <c r="AI476" s="16"/>
    </row>
    <row r="477" ht="12.75">
      <c r="AI477" s="16"/>
    </row>
    <row r="478" ht="12.75">
      <c r="AI478" s="16"/>
    </row>
    <row r="479" ht="12.75">
      <c r="AI479" s="16"/>
    </row>
    <row r="480" ht="12.75">
      <c r="AI480" s="16"/>
    </row>
    <row r="481" ht="12.75">
      <c r="AI481" s="16"/>
    </row>
    <row r="482" ht="12.75">
      <c r="AI482" s="16"/>
    </row>
    <row r="483" ht="12.75">
      <c r="AI483" s="16"/>
    </row>
    <row r="484" ht="12.75">
      <c r="AI484" s="16"/>
    </row>
    <row r="485" ht="12.75">
      <c r="AI485" s="16"/>
    </row>
    <row r="486" ht="12.75">
      <c r="AI486" s="16"/>
    </row>
    <row r="487" ht="12.75">
      <c r="AI487" s="16"/>
    </row>
    <row r="488" ht="12.75">
      <c r="AI488" s="16"/>
    </row>
    <row r="489" ht="12.75">
      <c r="AI489" s="16"/>
    </row>
    <row r="490" ht="12.75">
      <c r="AI490" s="16"/>
    </row>
    <row r="491" ht="12.75">
      <c r="AI491" s="16"/>
    </row>
    <row r="492" ht="12.75">
      <c r="AI492" s="16"/>
    </row>
    <row r="493" ht="12.75">
      <c r="AI493" s="16"/>
    </row>
    <row r="494" ht="12.75">
      <c r="AI494" s="16"/>
    </row>
    <row r="495" ht="12.75">
      <c r="AI495" s="16"/>
    </row>
    <row r="496" ht="12.75">
      <c r="AI496" s="16"/>
    </row>
    <row r="497" ht="12.75">
      <c r="AI497" s="16"/>
    </row>
    <row r="498" ht="12.75">
      <c r="AI498" s="16"/>
    </row>
    <row r="499" ht="12.75">
      <c r="AI499" s="16"/>
    </row>
    <row r="500" ht="12.75">
      <c r="AI500" s="16"/>
    </row>
    <row r="501" ht="12.75">
      <c r="AI501" s="16"/>
    </row>
    <row r="502" ht="12.75">
      <c r="AI502" s="16"/>
    </row>
    <row r="503" ht="12.75">
      <c r="AI503" s="16"/>
    </row>
    <row r="504" ht="12.75">
      <c r="AI504" s="16"/>
    </row>
    <row r="505" ht="12.75">
      <c r="AI505" s="16"/>
    </row>
    <row r="506" ht="12.75">
      <c r="AI506" s="16"/>
    </row>
    <row r="507" ht="12.75">
      <c r="AI507" s="16"/>
    </row>
    <row r="508" ht="12.75">
      <c r="AI508" s="16"/>
    </row>
    <row r="509" ht="12.75">
      <c r="AI509" s="16"/>
    </row>
    <row r="510" ht="12.75">
      <c r="AI510" s="16"/>
    </row>
    <row r="511" ht="12.75">
      <c r="AI511" s="16"/>
    </row>
    <row r="512" ht="12.75">
      <c r="AI512" s="16"/>
    </row>
    <row r="513" ht="12.75">
      <c r="AI513" s="16"/>
    </row>
    <row r="514" ht="12.75">
      <c r="AI514" s="16"/>
    </row>
    <row r="515" ht="12.75">
      <c r="AI515" s="16"/>
    </row>
  </sheetData>
  <mergeCells count="8">
    <mergeCell ref="M22:N22"/>
    <mergeCell ref="S79:T79"/>
    <mergeCell ref="S80:T80"/>
    <mergeCell ref="S81:T81"/>
    <mergeCell ref="B1:O1"/>
    <mergeCell ref="M6:O18"/>
    <mergeCell ref="M19:N21"/>
    <mergeCell ref="O19:O21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cp:lastPrinted>1999-01-24T15:46:43Z</cp:lastPrinted>
  <dcterms:created xsi:type="dcterms:W3CDTF">1998-11-09T17:11:37Z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